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mployed" sheetId="1" state="visible" r:id="rId3"/>
    <sheet name="Self-Employed" sheetId="2" state="visible" r:id="rId4"/>
    <sheet name="Ltd Contractor" sheetId="3" state="visible" r:id="rId5"/>
    <sheet name="Tax Reference" sheetId="4" state="visible" r:id="rId6"/>
    <sheet name="Notes" sheetId="5" state="visible" r:id="rId7"/>
  </sheets>
  <definedNames>
    <definedName function="false" hidden="false" name="c2_weekly" vbProcedure="false">'Tax Reference'!$C$47</definedName>
    <definedName function="false" hidden="false" name="c4_lower" vbProcedure="false">'Tax Reference'!$C$43</definedName>
    <definedName function="false" hidden="false" name="c4_main_rate" vbProcedure="false">'Tax Reference'!$C$45</definedName>
    <definedName function="false" hidden="false" name="c4_upper" vbProcedure="false">'Tax Reference'!$C$44</definedName>
    <definedName function="false" hidden="false" name="c4_upper_rate" vbProcedure="false">'Tax Reference'!$C$46</definedName>
    <definedName function="false" hidden="false" name="ct_main_rate" vbProcedure="false">'Tax Reference'!$C$53</definedName>
    <definedName function="false" hidden="false" name="ct_main_start" vbProcedure="false">'Tax Reference'!$C$52</definedName>
    <definedName function="false" hidden="false" name="ct_mr_fraction" vbProcedure="false">'Tax Reference'!$C$54</definedName>
    <definedName function="false" hidden="false" name="ct_small_rate" vbProcedure="false">'Tax Reference'!$C$51</definedName>
    <definedName function="false" hidden="false" name="ct_small_top" vbProcedure="false">'Tax Reference'!$C$50</definedName>
    <definedName function="false" hidden="false" name="div_addl_rate" vbProcedure="false">'Tax Reference'!$C$60</definedName>
    <definedName function="false" hidden="false" name="div_allowance" vbProcedure="false">'Tax Reference'!$C$57</definedName>
    <definedName function="false" hidden="false" name="div_basic_rate" vbProcedure="false">'Tax Reference'!$C$58</definedName>
    <definedName function="false" hidden="false" name="div_higher_rate" vbProcedure="false">'Tax Reference'!$C$59</definedName>
    <definedName function="false" hidden="false" name="emp_bonus" vbProcedure="false">Employed!$C$8</definedName>
    <definedName function="false" hidden="false" name="emp_penpct" vbProcedure="false">Employed!$C$10</definedName>
    <definedName function="false" hidden="false" name="emp_penscheme" vbProcedure="false">Employed!$C$11</definedName>
    <definedName function="false" hidden="false" name="emp_region" vbProcedure="false">Employed!$C$9</definedName>
    <definedName function="false" hidden="false" name="emp_salary" vbProcedure="false">Employed!$C$7</definedName>
    <definedName function="false" hidden="false" name="emp_slplan" vbProcedure="false">Employed!$C$12</definedName>
    <definedName function="false" hidden="false" name="eng_addl_rate" vbProcedure="false">'Tax Reference'!$C$17</definedName>
    <definedName function="false" hidden="false" name="eng_addl_threshold" vbProcedure="false">'Tax Reference'!$C$16</definedName>
    <definedName function="false" hidden="false" name="eng_basic_band" vbProcedure="false">'Tax Reference'!$C$12</definedName>
    <definedName function="false" hidden="false" name="eng_basic_rate" vbProcedure="false">'Tax Reference'!$C$13</definedName>
    <definedName function="false" hidden="false" name="eng_higher_rate" vbProcedure="false">'Tax Reference'!$C$15</definedName>
    <definedName function="false" hidden="false" name="eng_higher_threshold" vbProcedure="false">'Tax Reference'!$C$14</definedName>
    <definedName function="false" hidden="false" name="er_ni_rate" vbProcedure="false">'Tax Reference'!$C$40</definedName>
    <definedName function="false" hidden="false" name="er_ni_threshold" vbProcedure="false">'Tax Reference'!$C$39</definedName>
    <definedName function="false" hidden="false" name="ltd_dayrate" vbProcedure="false">'Ltd Contractor'!$C$7</definedName>
    <definedName function="false" hidden="false" name="ltd_days" vbProcedure="false">'Ltd Contractor'!$C$8</definedName>
    <definedName function="false" hidden="false" name="ltd_expenses" vbProcedure="false">'Ltd Contractor'!$C$11</definedName>
    <definedName function="false" hidden="false" name="ltd_ir35" vbProcedure="false">'Ltd Contractor'!$C$9</definedName>
    <definedName function="false" hidden="false" name="ltd_pension" vbProcedure="false">'Ltd Contractor'!$C$12</definedName>
    <definedName function="false" hidden="false" name="ltd_region" vbProcedure="false">'Ltd Contractor'!$C$13</definedName>
    <definedName function="false" hidden="false" name="ltd_salary" vbProcedure="false">'Ltd Contractor'!$C$10</definedName>
    <definedName function="false" hidden="false" name="ltd_slplan" vbProcedure="false">'Ltd Contractor'!$C$14</definedName>
    <definedName function="false" hidden="false" name="ni_lower" vbProcedure="false">'Tax Reference'!$C$33</definedName>
    <definedName function="false" hidden="false" name="ni_main_rate" vbProcedure="false">'Tax Reference'!$C$35</definedName>
    <definedName function="false" hidden="false" name="ni_upper" vbProcedure="false">'Tax Reference'!$C$34</definedName>
    <definedName function="false" hidden="false" name="ni_upper_rate" vbProcedure="false">'Tax Reference'!$C$36</definedName>
    <definedName function="false" hidden="false" name="pa_full" vbProcedure="false">'Tax Reference'!$C$7</definedName>
    <definedName function="false" hidden="false" name="pa_taper_rate" vbProcedure="false">'Tax Reference'!$C$9</definedName>
    <definedName function="false" hidden="false" name="pa_taper_start" vbProcedure="false">'Tax Reference'!$C$8</definedName>
    <definedName function="false" hidden="false" name="sco_advanced_rate" vbProcedure="false">'Tax Reference'!$C$29</definedName>
    <definedName function="false" hidden="false" name="sco_advanced_top" vbProcedure="false">'Tax Reference'!$C$28</definedName>
    <definedName function="false" hidden="false" name="sco_basic_rate" vbProcedure="false">'Tax Reference'!$C$23</definedName>
    <definedName function="false" hidden="false" name="sco_basic_top" vbProcedure="false">'Tax Reference'!$C$22</definedName>
    <definedName function="false" hidden="false" name="sco_higher_rate" vbProcedure="false">'Tax Reference'!$C$27</definedName>
    <definedName function="false" hidden="false" name="sco_higher_top" vbProcedure="false">'Tax Reference'!$C$26</definedName>
    <definedName function="false" hidden="false" name="sco_inter_rate" vbProcedure="false">'Tax Reference'!$C$25</definedName>
    <definedName function="false" hidden="false" name="sco_inter_top" vbProcedure="false">'Tax Reference'!$C$24</definedName>
    <definedName function="false" hidden="false" name="sco_starter_rate" vbProcedure="false">'Tax Reference'!$C$21</definedName>
    <definedName function="false" hidden="false" name="sco_starter_top" vbProcedure="false">'Tax Reference'!$C$20</definedName>
    <definedName function="false" hidden="false" name="sco_top_rate" vbProcedure="false">'Tax Reference'!$C$30</definedName>
    <definedName function="false" hidden="false" name="se_c2vol" vbProcedure="false">'Self-Employed'!$C$10</definedName>
    <definedName function="false" hidden="false" name="se_pension" vbProcedure="false">'Self-Employed'!$C$9</definedName>
    <definedName function="false" hidden="false" name="se_profit" vbProcedure="false">'Self-Employed'!$C$7</definedName>
    <definedName function="false" hidden="false" name="se_region" vbProcedure="false">'Self-Employed'!$C$8</definedName>
    <definedName function="false" hidden="false" name="se_slplan" vbProcedure="false">'Self-Employed'!$C$11</definedName>
    <definedName function="false" hidden="false" name="sl_main_rate" vbProcedure="false">'Tax Reference'!$C$68</definedName>
    <definedName function="false" hidden="false" name="sl_pg_rate" vbProcedure="false">'Tax Reference'!$C$69</definedName>
    <definedName function="false" hidden="false" name="sl_pg_thresh" vbProcedure="false">'Tax Reference'!$C$67</definedName>
    <definedName function="false" hidden="false" name="sl_plan1_thresh" vbProcedure="false">'Tax Reference'!$C$63</definedName>
    <definedName function="false" hidden="false" name="sl_plan2_thresh" vbProcedure="false">'Tax Reference'!$C$64</definedName>
    <definedName function="false" hidden="false" name="sl_plan4_thresh" vbProcedure="false">'Tax Reference'!$C$65</definedName>
    <definedName function="false" hidden="false" name="sl_plan5_thresh" vbProcedure="false">'Tax Reference'!$C$66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<sst xmlns="http://schemas.openxmlformats.org/spreadsheetml/2006/main" count="297" uniqueCount="233">
  <si>
    <t xml:space="preserve">PAYSLP</t>
  </si>
  <si>
    <t xml:space="preserve">payslp.com</t>
  </si>
  <si>
    <t xml:space="preserve">UK Salary Calculator — Employed Mode</t>
  </si>
  <si>
    <t xml:space="preserve">Tax year 2026/27 · HMRC-aligned · Edit any blue cell to recalculate</t>
  </si>
  <si>
    <t xml:space="preserve">INPUTS</t>
  </si>
  <si>
    <t xml:space="preserve">RESULTS</t>
  </si>
  <si>
    <t xml:space="preserve">INTERMEDIATE</t>
  </si>
  <si>
    <t xml:space="preserve">Annual gross salary</t>
  </si>
  <si>
    <t xml:space="preserve">Annual take-home</t>
  </si>
  <si>
    <t xml:space="preserve">total_gross</t>
  </si>
  <si>
    <t xml:space="preserve">Annual bonus</t>
  </si>
  <si>
    <t xml:space="preserve">Monthly take-home</t>
  </si>
  <si>
    <t xml:space="preserve">pension_amt</t>
  </si>
  <si>
    <t xml:space="preserve">Tax region</t>
  </si>
  <si>
    <t xml:space="preserve">England</t>
  </si>
  <si>
    <t xml:space="preserve">Weekly take-home</t>
  </si>
  <si>
    <t xml:space="preserve">tax_base</t>
  </si>
  <si>
    <t xml:space="preserve">Pension contribution (%)</t>
  </si>
  <si>
    <t xml:space="preserve">Daily (~260 working days)</t>
  </si>
  <si>
    <t xml:space="preserve">ni_base</t>
  </si>
  <si>
    <t xml:space="preserve">Pension scheme</t>
  </si>
  <si>
    <t xml:space="preserve">Salary Sacrifice</t>
  </si>
  <si>
    <t xml:space="preserve">pa</t>
  </si>
  <si>
    <t xml:space="preserve">Student loan plan</t>
  </si>
  <si>
    <t xml:space="preserve">None</t>
  </si>
  <si>
    <t xml:space="preserve">Effective tax + NI + SL rate</t>
  </si>
  <si>
    <t xml:space="preserve">taxable</t>
  </si>
  <si>
    <t xml:space="preserve">income_tax</t>
  </si>
  <si>
    <t xml:space="preserve">BREAKDOWN</t>
  </si>
  <si>
    <t xml:space="preserve">ni</t>
  </si>
  <si>
    <t xml:space="preserve">Gross salary</t>
  </si>
  <si>
    <t xml:space="preserve">↓  WHY THIS MATTERS</t>
  </si>
  <si>
    <t xml:space="preserve">student_loan</t>
  </si>
  <si>
    <t xml:space="preserve">Plus: Annual bonus</t>
  </si>
  <si>
    <t xml:space="preserve">Personal Allowance (this person):</t>
  </si>
  <si>
    <t xml:space="preserve">take_home</t>
  </si>
  <si>
    <t xml:space="preserve">Total gross earnings</t>
  </si>
  <si>
    <t xml:space="preserve">Income above PA (taxable):</t>
  </si>
  <si>
    <t xml:space="preserve">Less: Pension contribution</t>
  </si>
  <si>
    <t xml:space="preserve">Effective tax + NI rate:</t>
  </si>
  <si>
    <t xml:space="preserve">Less: Income tax</t>
  </si>
  <si>
    <t xml:space="preserve">Money kept per £100 earned:</t>
  </si>
  <si>
    <t xml:space="preserve">Less: National Insurance</t>
  </si>
  <si>
    <t xml:space="preserve">Less: Student loan repayment</t>
  </si>
  <si>
    <t xml:space="preserve">ANNUAL TAKE-HOME</t>
  </si>
  <si>
    <t xml:space="preserve">Source: HMRC 2026/27 tax tables. See "Tax Reference" tab for all rates and thresholds.</t>
  </si>
  <si>
    <t xml:space="preserve">For information only — not financial advice. Consult a qualified accountant for your specific circumstances.</t>
  </si>
  <si>
    <t xml:space="preserve">© Payslp — payslp.com — Built solo by Matthew Newton</t>
  </si>
  <si>
    <t xml:space="preserve">UK Salary Calculator — Self-Employed (Sole Trader)</t>
  </si>
  <si>
    <t xml:space="preserve">Tax year 2026/27 · Class 4 NI 6% · Class 2 voluntary</t>
  </si>
  <si>
    <t xml:space="preserve">Annual profit (after business expenses)</t>
  </si>
  <si>
    <t xml:space="preserve">Personal pension contribution (£/year)</t>
  </si>
  <si>
    <t xml:space="preserve">Pay voluntary Class 2 NI?</t>
  </si>
  <si>
    <t xml:space="preserve">Yes</t>
  </si>
  <si>
    <t xml:space="preserve">class4_ni</t>
  </si>
  <si>
    <t xml:space="preserve">class2_ni</t>
  </si>
  <si>
    <t xml:space="preserve">Less: Personal pension contribution</t>
  </si>
  <si>
    <t xml:space="preserve">Personal Allowance:</t>
  </si>
  <si>
    <t xml:space="preserve">Class 4 NI (6%/2%):</t>
  </si>
  <si>
    <t xml:space="preserve">Less: Class 4 National Insurance</t>
  </si>
  <si>
    <t xml:space="preserve">Total NI burden (Class 4 + 2):</t>
  </si>
  <si>
    <t xml:space="preserve">Less: Class 2 NI (voluntary)</t>
  </si>
  <si>
    <t xml:space="preserve">Effective rate (vs employed equiv):</t>
  </si>
  <si>
    <t xml:space="preserve">Note: Self-employed pay less NI than employees (6% vs 8%) but no employer NI is paid on their behalf.</t>
  </si>
  <si>
    <t xml:space="preserve">UK Salary Calculator — Ltd Contractor (Outside &amp; Inside IR35)</t>
  </si>
  <si>
    <t xml:space="preserve">Tax year 2026/27 · Includes Corp Tax marginal relief · Dividend tax bands</t>
  </si>
  <si>
    <t xml:space="preserve">Day rate (£/day)</t>
  </si>
  <si>
    <t xml:space="preserve">revenue</t>
  </si>
  <si>
    <t xml:space="preserve">Billable days per year</t>
  </si>
  <si>
    <t xml:space="preserve">── Outside IR35 ──</t>
  </si>
  <si>
    <t xml:space="preserve">IR35 status</t>
  </si>
  <si>
    <t xml:space="preserve">Outside IR35</t>
  </si>
  <si>
    <t xml:space="preserve">profit_pre_ct</t>
  </si>
  <si>
    <t xml:space="preserve">Director's salary (Outside IR35 only)</t>
  </si>
  <si>
    <t xml:space="preserve">corp_tax</t>
  </si>
  <si>
    <t xml:space="preserve">PSC business expenses (£/year)</t>
  </si>
  <si>
    <t xml:space="preserve">distributable</t>
  </si>
  <si>
    <t xml:space="preserve">Employer pension contribution (£/year)</t>
  </si>
  <si>
    <t xml:space="preserve">Effective rate (vs revenue)</t>
  </si>
  <si>
    <t xml:space="preserve">div_taken</t>
  </si>
  <si>
    <t xml:space="preserve">pa_out</t>
  </si>
  <si>
    <t xml:space="preserve">salary_tax</t>
  </si>
  <si>
    <t xml:space="preserve">salary_ni</t>
  </si>
  <si>
    <t xml:space="preserve">div_basic_zone</t>
  </si>
  <si>
    <t xml:space="preserve">Annual revenue (day rate × days)</t>
  </si>
  <si>
    <t xml:space="preserve">↓  KEY METRICS</t>
  </si>
  <si>
    <t xml:space="preserve">div_higher_zone</t>
  </si>
  <si>
    <t xml:space="preserve">Less: Business expenses (PSC)</t>
  </si>
  <si>
    <t xml:space="preserve">Total revenue:</t>
  </si>
  <si>
    <t xml:space="preserve">div_addl_zone</t>
  </si>
  <si>
    <t xml:space="preserve">Less: Director's salary</t>
  </si>
  <si>
    <t xml:space="preserve">Total tax paid (all sources):</t>
  </si>
  <si>
    <t xml:space="preserve">div_tax</t>
  </si>
  <si>
    <t xml:space="preserve">Less: Employer NI on salary</t>
  </si>
  <si>
    <t xml:space="preserve">Effective tax rate (revenue → net):</t>
  </si>
  <si>
    <t xml:space="preserve">sl_out</t>
  </si>
  <si>
    <t xml:space="preserve">Less: Employer pension contribution</t>
  </si>
  <si>
    <t xml:space="preserve">Money kept per £100 invoiced:</t>
  </si>
  <si>
    <t xml:space="preserve">take_home_out</t>
  </si>
  <si>
    <t xml:space="preserve">Profit subject to Corporation Tax</t>
  </si>
  <si>
    <t xml:space="preserve">Outside IR35 vs Inside difference:</t>
  </si>
  <si>
    <t xml:space="preserve">── Inside IR35 ──</t>
  </si>
  <si>
    <t xml:space="preserve">Less: Corporation Tax</t>
  </si>
  <si>
    <t xml:space="preserve">deemed_pay</t>
  </si>
  <si>
    <t xml:space="preserve">Distributable profit (taken as dividend)</t>
  </si>
  <si>
    <t xml:space="preserve">pa_in</t>
  </si>
  <si>
    <t xml:space="preserve">tax_in</t>
  </si>
  <si>
    <t xml:space="preserve">PERSONAL TAX</t>
  </si>
  <si>
    <t xml:space="preserve">ni_in</t>
  </si>
  <si>
    <t xml:space="preserve">Less: Tax on salary</t>
  </si>
  <si>
    <t xml:space="preserve">sl_in</t>
  </si>
  <si>
    <t xml:space="preserve">Less: Employee NI</t>
  </si>
  <si>
    <t xml:space="preserve">take_home_in</t>
  </si>
  <si>
    <t xml:space="preserve">Less: Dividend tax</t>
  </si>
  <si>
    <t xml:space="preserve">Less: Student loan</t>
  </si>
  <si>
    <t xml:space="preserve">NET TO DIRECTOR</t>
  </si>
  <si>
    <t xml:space="preserve">total_tax_paid</t>
  </si>
  <si>
    <t xml:space="preserve">IR35 assumptions: Outside = Ltd structure with CT + dividends. Inside = full PAYE on deemed payment. v1 omits 5% expense allowance for Chapter 8 IR35.</t>
  </si>
  <si>
    <t xml:space="preserve">TAX REFERENCE — 2026/27</t>
  </si>
  <si>
    <t xml:space="preserve">All rates, thresholds and bands used in the calculator. Source: HMRC.</t>
  </si>
  <si>
    <t xml:space="preserve">Do not edit these values unless updating for a new tax year.</t>
  </si>
  <si>
    <t xml:space="preserve">Personal Allowance &amp; taper</t>
  </si>
  <si>
    <t xml:space="preserve">Personal Allowance (standard)</t>
  </si>
  <si>
    <t xml:space="preserve">Source: HMRC Income Tax rates 2026/27</t>
  </si>
  <si>
    <t xml:space="preserve">PA taper threshold</t>
  </si>
  <si>
    <t xml:space="preserve">£1 of PA lost for every £2 of income above this</t>
  </si>
  <si>
    <t xml:space="preserve">PA taper rate (£ lost per £ over)</t>
  </si>
  <si>
    <t xml:space="preserve">Personal Allowance reduced by £1 per £2 over £100k</t>
  </si>
  <si>
    <t xml:space="preserve">Income tax — England, Wales, N. Ireland</t>
  </si>
  <si>
    <t xml:space="preserve">Basic rate band width (after PA)</t>
  </si>
  <si>
    <t xml:space="preserve">Width of 20% band above the Personal Allowance</t>
  </si>
  <si>
    <t xml:space="preserve">Basic rate</t>
  </si>
  <si>
    <t xml:space="preserve">Source: HMRC</t>
  </si>
  <si>
    <t xml:space="preserve">Higher rate threshold (absolute)</t>
  </si>
  <si>
    <t xml:space="preserve">Income above this point taxed at higher rate</t>
  </si>
  <si>
    <t xml:space="preserve">Higher rate</t>
  </si>
  <si>
    <t xml:space="preserve">Additional rate threshold</t>
  </si>
  <si>
    <t xml:space="preserve">Income above this point taxed at additional rate</t>
  </si>
  <si>
    <t xml:space="preserve">Additional rate</t>
  </si>
  <si>
    <t xml:space="preserve">Income tax — Scotland (6-band system)</t>
  </si>
  <si>
    <t xml:space="preserve">Starter rate band top</t>
  </si>
  <si>
    <t xml:space="preserve">Starter rate applies above PA up to this point</t>
  </si>
  <si>
    <t xml:space="preserve">Starter rate</t>
  </si>
  <si>
    <t xml:space="preserve">Source: Scottish Government</t>
  </si>
  <si>
    <t xml:space="preserve">Basic rate band top</t>
  </si>
  <si>
    <t xml:space="preserve">Intermediate rate band top</t>
  </si>
  <si>
    <t xml:space="preserve">Intermediate rate</t>
  </si>
  <si>
    <t xml:space="preserve">Higher rate band top</t>
  </si>
  <si>
    <t xml:space="preserve">Advanced rate band top</t>
  </si>
  <si>
    <t xml:space="preserve">Above this = Top rate</t>
  </si>
  <si>
    <t xml:space="preserve">Advanced rate</t>
  </si>
  <si>
    <t xml:space="preserve">Top rate</t>
  </si>
  <si>
    <t xml:space="preserve">National Insurance — Employee (Class 1)</t>
  </si>
  <si>
    <t xml:space="preserve">Primary Threshold (no NI below this)</t>
  </si>
  <si>
    <t xml:space="preserve">Upper Earnings Limit</t>
  </si>
  <si>
    <t xml:space="preserve">Above this, NI drops to 2%</t>
  </si>
  <si>
    <t xml:space="preserve">Main rate</t>
  </si>
  <si>
    <t xml:space="preserve">Source: HMRC. 8% from April 2024.</t>
  </si>
  <si>
    <t xml:space="preserve">Upper rate</t>
  </si>
  <si>
    <t xml:space="preserve">National Insurance — Employer (Class 1 Secondary)</t>
  </si>
  <si>
    <t xml:space="preserve">Secondary Threshold</t>
  </si>
  <si>
    <t xml:space="preserve">Employer NI starts here. Lowered from £9,100 in Apr 2025.</t>
  </si>
  <si>
    <t xml:space="preserve">Employer NI rate</t>
  </si>
  <si>
    <t xml:space="preserve">Source: HMRC. Increased from 13.8% to 15% Apr 2025.</t>
  </si>
  <si>
    <t xml:space="preserve">National Insurance — Self-Employed</t>
  </si>
  <si>
    <t xml:space="preserve">Class 4 Lower Profits Limit</t>
  </si>
  <si>
    <t xml:space="preserve">Class 4 Upper Profits Limit</t>
  </si>
  <si>
    <t xml:space="preserve">Class 4 main rate</t>
  </si>
  <si>
    <t xml:space="preserve">Source: HMRC. 6% from April 2024 (was 9%).</t>
  </si>
  <si>
    <t xml:space="preserve">Class 4 upper rate</t>
  </si>
  <si>
    <t xml:space="preserve">Class 2 weekly rate (voluntary)</t>
  </si>
  <si>
    <t xml:space="preserve">£3.65/week if voluntary. £189.80/year. Mandatory abolished Apr 2024.</t>
  </si>
  <si>
    <t xml:space="preserve">Corporation Tax (Ltd companies)</t>
  </si>
  <si>
    <t xml:space="preserve">Small Profits Rate threshold</t>
  </si>
  <si>
    <t xml:space="preserve">Profits up to here taxed at small profits rate</t>
  </si>
  <si>
    <t xml:space="preserve">Small Profits Rate</t>
  </si>
  <si>
    <t xml:space="preserve">Main Rate threshold</t>
  </si>
  <si>
    <t xml:space="preserve">Profits over this taxed at main rate</t>
  </si>
  <si>
    <t xml:space="preserve">Main Rate</t>
  </si>
  <si>
    <t xml:space="preserve">Marginal Relief Standard Fraction</t>
  </si>
  <si>
    <t xml:space="preserve">3/200 — applied between £50k and £250k</t>
  </si>
  <si>
    <t xml:space="preserve">Dividend Tax</t>
  </si>
  <si>
    <t xml:space="preserve">Dividend allowance</t>
  </si>
  <si>
    <t xml:space="preserve">First £500 of dividends taxed at 0% (uses band space)</t>
  </si>
  <si>
    <t xml:space="preserve">Basic rate dividend tax</t>
  </si>
  <si>
    <t xml:space="preserve">8.75% on dividends in basic rate band</t>
  </si>
  <si>
    <t xml:space="preserve">Higher rate dividend tax</t>
  </si>
  <si>
    <t xml:space="preserve">33.75% on dividends in higher rate band</t>
  </si>
  <si>
    <t xml:space="preserve">Additional rate dividend tax</t>
  </si>
  <si>
    <t xml:space="preserve">39.35% on dividends in additional rate band</t>
  </si>
  <si>
    <t xml:space="preserve">Student loan thresholds (annual)</t>
  </si>
  <si>
    <t xml:space="preserve">Plan 1 threshold</t>
  </si>
  <si>
    <t xml:space="preserve">9% on income over threshold</t>
  </si>
  <si>
    <t xml:space="preserve">Plan 2 threshold</t>
  </si>
  <si>
    <t xml:space="preserve">Plan 4 threshold</t>
  </si>
  <si>
    <t xml:space="preserve">9% on income over threshold (Scotland)</t>
  </si>
  <si>
    <t xml:space="preserve">Plan 5 threshold</t>
  </si>
  <si>
    <t xml:space="preserve">9% on income over threshold (started Aug 2023+)</t>
  </si>
  <si>
    <t xml:space="preserve">Postgraduate threshold</t>
  </si>
  <si>
    <t xml:space="preserve">6% on income over threshold</t>
  </si>
  <si>
    <t xml:space="preserve">Plans 1/2/4/5 rate</t>
  </si>
  <si>
    <t xml:space="preserve">Source: GOV.UK</t>
  </si>
  <si>
    <t xml:space="preserve">Postgraduate rate</t>
  </si>
  <si>
    <t xml:space="preserve">NOTES &amp; METHODOLOGY</t>
  </si>
  <si>
    <t xml:space="preserve">Overview</t>
  </si>
  <si>
    <t xml:space="preserve">Three calculators bundled — Employed, Self-Employed (sole trader), and Ltd Contractor with IR35.</t>
  </si>
  <si>
    <t xml:space="preserve">All HMRC-aligned to 2026/27. Edit blue cells, results recalculate automatically.</t>
  </si>
  <si>
    <t xml:space="preserve">Employed mode (Tab 1)</t>
  </si>
  <si>
    <t xml:space="preserve">Covers salary + bonus, three income tax regions (England/Wales/NI + Scotland 6-band), pension via salary sacrifice or relief at source, Class 1 NI, all student loan plans.</t>
  </si>
  <si>
    <t xml:space="preserve">Personal allowance taper applied between £100K-£125,140 (the 60% effective rate trap).</t>
  </si>
  <si>
    <t xml:space="preserve">Self-Employed mode (Tab 2)</t>
  </si>
  <si>
    <t xml:space="preserve">Class 4 NI: 6% main, 2% upper (rate cut from 9% in April 2024).</t>
  </si>
  <si>
    <t xml:space="preserve">Class 2 NI: £3.65/week voluntary if profits between £6,725-£12,570, useful for State Pension credits.</t>
  </si>
  <si>
    <t xml:space="preserve">Personal pension reduces taxable income but NOT NI base (pension NI relief only via salary sacrifice for employees).</t>
  </si>
  <si>
    <t xml:space="preserve">Student loans calculated on TOTAL profit (not after pension).</t>
  </si>
  <si>
    <t xml:space="preserve">Ltd Contractor mode (Tab 3)</t>
  </si>
  <si>
    <t xml:space="preserve">Outside IR35: Full Ltd structure. Revenue → expenses → salary → employer NI → corp tax → distributable profit → dividend.</t>
  </si>
  <si>
    <t xml:space="preserve">Corporation Tax with marginal relief: 19% on profits up to £50K, 25% above £250K, blended 26.5% effective marginal in between.</t>
  </si>
  <si>
    <t xml:space="preserve">Dividend tax: £500 allowance at 0%, then 8.75% basic / 33.75% higher / 39.35% additional rate.</t>
  </si>
  <si>
    <t xml:space="preserve">Inside IR35: Deemed payment calculation. Revenue minus employer NI = deemed salary, all taxed via PAYE + employee NI.</t>
  </si>
  <si>
    <t xml:space="preserve">v1 omits the 5% expense allowance under Chapter 8 IR35 (engagement-led). Modern Chapter 10 (off-payroll, post-2021) has no 5% allowance.</t>
  </si>
  <si>
    <t xml:space="preserve">What's NOT included in v1</t>
  </si>
  <si>
    <t xml:space="preserve">• Commission, overtime, car allowance and car BIK</t>
  </si>
  <si>
    <t xml:space="preserve">• Multiple pension schemes simultaneously</t>
  </si>
  <si>
    <t xml:space="preserve">• Marriage allowance, blind person's allowance</t>
  </si>
  <si>
    <t xml:space="preserve">• Mid-year tax code changes</t>
  </si>
  <si>
    <t xml:space="preserve">• VAT (turnover-related)</t>
  </si>
  <si>
    <t xml:space="preserve">• High Income Child Benefit Charge (HICBC)</t>
  </si>
  <si>
    <t xml:space="preserve">• Capital Gains, savings/dividend income from outside the Ltd</t>
  </si>
  <si>
    <t xml:space="preserve">These will be added in future updates. Buyers receive free updates.</t>
  </si>
  <si>
    <t xml:space="preserve">Disclaimer</t>
  </si>
  <si>
    <t xml:space="preserve">This spreadsheet is for informational and educational purposes only. Not financial advice.</t>
  </si>
  <si>
    <t xml:space="preserve">Tax law is complex and individual circumstances vary. Consult a qualified accountant before making decisions.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</si>
</sst>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£#,##0.00"/>
    <numFmt numFmtId="166" formatCode="\£#,##0"/>
    <numFmt numFmtId="167" formatCode="0.0%"/>
    <numFmt numFmtId="168" formatCode="&quot;(£&quot;#,##0\)"/>
    <numFmt numFmtId="169" formatCode="\£0"/>
    <numFmt numFmtId="170" formatCode="0"/>
    <numFmt numFmtId="171" formatCode="\£0.00"/>
    <numFmt numFmtId="172" formatCode="0.000"/>
    <numFmt numFmtId="173" formatCode="0.00%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8C80"/>
      <name val="Arial"/>
      <family val="0"/>
      <charset val="1"/>
    </font>
    <font>
      <u val="single"/>
      <sz val="10"/>
      <color rgb="FF008C80"/>
      <name val="Arial"/>
      <family val="0"/>
      <charset val="1"/>
    </font>
    <font>
      <b val="true"/>
      <sz val="13"/>
      <color rgb="FF0F172A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64748B"/>
      <name val="Arial"/>
      <family val="0"/>
      <charset val="1"/>
    </font>
    <font>
      <sz val="11"/>
      <color rgb="FF0F172A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b val="true"/>
      <sz val="14"/>
      <color rgb="FF0F172A"/>
      <name val="Arial"/>
      <family val="0"/>
      <charset val="1"/>
    </font>
    <font>
      <b val="true"/>
      <sz val="14"/>
      <color rgb="FF008C5A"/>
      <name val="Arial"/>
      <family val="0"/>
      <charset val="1"/>
    </font>
    <font>
      <b val="true"/>
      <sz val="12"/>
      <color rgb="FF0F172A"/>
      <name val="Arial"/>
      <family val="0"/>
      <charset val="1"/>
    </font>
    <font>
      <b val="true"/>
      <sz val="11"/>
      <color rgb="FF0F172A"/>
      <name val="Arial"/>
      <family val="0"/>
      <charset val="1"/>
    </font>
    <font>
      <b val="true"/>
      <sz val="10"/>
      <color rgb="FF008C80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b val="true"/>
      <sz val="10"/>
      <color rgb="FF008C5A"/>
      <name val="Arial"/>
      <family val="0"/>
      <charset val="1"/>
    </font>
    <font>
      <b val="true"/>
      <sz val="12"/>
      <color rgb="FF008C5A"/>
      <name val="Arial"/>
      <family val="0"/>
      <charset val="1"/>
    </font>
    <font>
      <sz val="9"/>
      <color rgb="FF008C80"/>
      <name val="Arial"/>
      <family val="0"/>
      <charset val="1"/>
    </font>
    <font>
      <i val="true"/>
      <sz val="9"/>
      <color rgb="FFC2410C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6"/>
      <color rgb="FF008C80"/>
      <name val="Arial"/>
      <family val="0"/>
      <charset val="1"/>
    </font>
    <font>
      <i val="true"/>
      <sz val="9"/>
      <color rgb="FFB45309"/>
      <name val="Arial"/>
      <family val="0"/>
      <charset val="1"/>
    </font>
    <font>
      <sz val="14"/>
      <color rgb="FF0F172A"/>
      <name val="Arial"/>
      <family val="0"/>
      <charset val="1"/>
    </font>
    <font>
      <b val="true"/>
      <sz val="12"/>
      <color rgb="FF008C80"/>
      <name val="Arial"/>
      <family val="0"/>
      <charset val="1"/>
    </font>
    <font>
      <i val="true"/>
      <sz val="10"/>
      <color rgb="FF008C8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0B8A9"/>
        <bgColor rgb="FF33CCCC"/>
      </patternFill>
    </fill>
    <fill>
      <patternFill patternType="solid">
        <fgColor rgb="FFEBF5FF"/>
        <bgColor rgb="FFE6F7E6"/>
      </patternFill>
    </fill>
    <fill>
      <patternFill patternType="solid">
        <fgColor rgb="FFE6F7E6"/>
        <bgColor rgb="FFEBF5FF"/>
      </patternFill>
    </fill>
    <fill>
      <patternFill patternType="solid">
        <fgColor rgb="FFFFF9C4"/>
        <bgColor rgb="FFFFFF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/>
      <right/>
      <top/>
      <bottom style="thin">
        <color rgb="FFCBD5E1"/>
      </bottom>
      <diagonal/>
    </border>
    <border diagonalUp="false" diagonalDown="false">
      <left/>
      <right/>
      <top style="medium">
        <color rgb="FF008C80"/>
      </top>
      <bottom style="medium">
        <color rgb="FF008C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6" fontId="13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3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1" fillId="3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7" fontId="15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1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0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3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C80"/>
      <rgbColor rgb="FFC0C0C0"/>
      <rgbColor rgb="FF808080"/>
      <rgbColor rgb="FF8B5CF6"/>
      <rgbColor rgb="FFB45309"/>
      <rgbColor rgb="FFFFF9C4"/>
      <rgbColor rgb="FFE6F7E6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C5A"/>
      <rgbColor rgb="FF0000FF"/>
      <rgbColor rgb="FF00B8A9"/>
      <rgbColor rgb="FFEBF5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59E0B"/>
      <rgbColor rgb="FFFF6600"/>
      <rgbColor rgb="FF64748B"/>
      <rgbColor rgb="FF969696"/>
      <rgbColor rgb="FF003366"/>
      <rgbColor rgb="FF339966"/>
      <rgbColor rgb="FF0F172A"/>
      <rgbColor rgb="FF333300"/>
      <rgbColor rgb="FFC2410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8A9"/>
    <pageSetUpPr fitToPage="false"/>
  </sheetPr>
  <dimension ref="B2:H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3" min="3" style="1" width="16"/>
    <col collapsed="false" customWidth="true" hidden="false" outlineLevel="0" max="4" min="4" style="1" width="4"/>
    <col collapsed="false" customWidth="true" hidden="false" outlineLevel="0" max="5" min="5" style="1" width="32"/>
    <col collapsed="false" customWidth="true" hidden="false" outlineLevel="0" max="6" min="6" style="1" width="16"/>
    <col collapsed="false" customWidth="true" hidden="true" outlineLevel="0" max="7" min="7" style="1" width="2"/>
    <col collapsed="false" customWidth="true" hidden="true" outlineLevel="0" max="8" min="8" style="1" width="13"/>
  </cols>
  <sheetData>
    <row r="2" customFormat="false" ht="26.25" hidden="false" customHeight="true" outlineLevel="0" collapsed="false">
      <c r="B2" s="2" t="s">
        <v>0</v>
      </c>
      <c r="F2" s="3" t="s">
        <v>1</v>
      </c>
    </row>
    <row r="3" customFormat="false" ht="15.75" hidden="false" customHeight="true" outlineLevel="0" collapsed="false">
      <c r="B3" s="4" t="s">
        <v>2</v>
      </c>
    </row>
    <row r="4" customFormat="false" ht="15" hidden="false" customHeight="true" outlineLevel="0" collapsed="false">
      <c r="B4" s="5" t="s">
        <v>3</v>
      </c>
    </row>
    <row r="6" customFormat="false" ht="24" hidden="false" customHeight="true" outlineLevel="0" collapsed="false">
      <c r="B6" s="6" t="s">
        <v>4</v>
      </c>
      <c r="C6" s="6"/>
      <c r="E6" s="6" t="s">
        <v>5</v>
      </c>
      <c r="F6" s="6"/>
      <c r="G6" s="7" t="s">
        <v>6</v>
      </c>
      <c r="H6" s="8"/>
    </row>
    <row r="7" customFormat="false" ht="21.75" hidden="false" customHeight="true" outlineLevel="0" collapsed="false">
      <c r="B7" s="9" t="s">
        <v>7</v>
      </c>
      <c r="C7" s="10" t="n">
        <v>50000</v>
      </c>
      <c r="E7" s="11" t="s">
        <v>8</v>
      </c>
      <c r="F7" s="12" t="n">
        <f aca="false">H16</f>
        <v>37719.6</v>
      </c>
      <c r="G7" s="7" t="s">
        <v>9</v>
      </c>
      <c r="H7" s="8" t="n">
        <f aca="false">emp_salary + emp_bonus</f>
        <v>50000</v>
      </c>
    </row>
    <row r="8" customFormat="false" ht="21.75" hidden="false" customHeight="true" outlineLevel="0" collapsed="false">
      <c r="B8" s="9" t="s">
        <v>10</v>
      </c>
      <c r="C8" s="10" t="n">
        <v>0</v>
      </c>
      <c r="E8" s="13" t="s">
        <v>11</v>
      </c>
      <c r="F8" s="14" t="n">
        <f aca="false">H16/12</f>
        <v>3143.3</v>
      </c>
      <c r="G8" s="7" t="s">
        <v>12</v>
      </c>
      <c r="H8" s="8" t="n">
        <f aca="false">H7 * emp_penpct</f>
        <v>2500</v>
      </c>
    </row>
    <row r="9" customFormat="false" ht="21.75" hidden="false" customHeight="true" outlineLevel="0" collapsed="false">
      <c r="B9" s="9" t="s">
        <v>13</v>
      </c>
      <c r="C9" s="15" t="s">
        <v>14</v>
      </c>
      <c r="E9" s="9" t="s">
        <v>15</v>
      </c>
      <c r="F9" s="16" t="n">
        <f aca="false">H16/52</f>
        <v>725.376923076923</v>
      </c>
      <c r="G9" s="7" t="s">
        <v>16</v>
      </c>
      <c r="H9" s="8" t="n">
        <f aca="false">MAX(0, H7 - H8)</f>
        <v>47500</v>
      </c>
    </row>
    <row r="10" customFormat="false" ht="21.75" hidden="false" customHeight="true" outlineLevel="0" collapsed="false">
      <c r="B10" s="9" t="s">
        <v>17</v>
      </c>
      <c r="C10" s="17" t="n">
        <v>0.05</v>
      </c>
      <c r="E10" s="9" t="s">
        <v>18</v>
      </c>
      <c r="F10" s="16" t="n">
        <f aca="false">H16/260</f>
        <v>145.075384615385</v>
      </c>
      <c r="G10" s="7" t="s">
        <v>19</v>
      </c>
      <c r="H10" s="8" t="n">
        <f aca="false">IF(emp_penscheme="Salary Sacrifice", H7 - H8, H7)</f>
        <v>47500</v>
      </c>
    </row>
    <row r="11" customFormat="false" ht="21.75" hidden="false" customHeight="true" outlineLevel="0" collapsed="false">
      <c r="B11" s="9" t="s">
        <v>20</v>
      </c>
      <c r="C11" s="15" t="s">
        <v>21</v>
      </c>
      <c r="G11" s="7" t="s">
        <v>22</v>
      </c>
      <c r="H11" s="8" t="n">
        <f aca="false">MAX(0, pa_full - MAX(0, (H9 - pa_taper_start) * pa_taper_rate))</f>
        <v>12570</v>
      </c>
    </row>
    <row r="12" customFormat="false" ht="21.75" hidden="false" customHeight="true" outlineLevel="0" collapsed="false">
      <c r="B12" s="9" t="s">
        <v>23</v>
      </c>
      <c r="C12" s="15" t="s">
        <v>24</v>
      </c>
      <c r="E12" s="18" t="s">
        <v>25</v>
      </c>
      <c r="F12" s="19" t="n">
        <f aca="false">(H13+H14+H15)/H7</f>
        <v>0.195608</v>
      </c>
      <c r="G12" s="7" t="s">
        <v>26</v>
      </c>
      <c r="H12" s="8" t="n">
        <f aca="false">MAX(0, H9 - H11)</f>
        <v>34930</v>
      </c>
    </row>
    <row r="13" customFormat="false" ht="15" hidden="false" customHeight="true" outlineLevel="0" collapsed="false">
      <c r="G13" s="7" t="s">
        <v>27</v>
      </c>
      <c r="H13" s="8" t="n">
        <f aca="false">IF(emp_region="Scotland", MAX(0, MIN(H9, sco_starter_top) - H11) * sco_starter_rate + MAX(0, MIN(H9, sco_basic_top) - MAX(H11, sco_starter_top)) * sco_basic_rate + MAX(0, MIN(H9, sco_inter_top) - MAX(H11, sco_basic_top)) * sco_inter_rate + MAX(0, MIN(H9, sco_higher_top) - MAX(H11, sco_inter_top)) * sco_higher_rate + MAX(0, MIN(H9, sco_advanced_top) - MAX(H11, sco_higher_top)) * sco_advanced_rate + MAX(0, H9 - MAX(H11, sco_advanced_top)) * sco_top_rate, MIN(MAX(0, H9 - H11), eng_basic_band) * eng_basic_rate + MAX(0, MIN(H9, eng_addl_threshold) - (H11 + eng_basic_band)) * eng_higher_rate + MAX(0, H9 - eng_addl_threshold) * eng_addl_rate)</f>
        <v>6986</v>
      </c>
    </row>
    <row r="14" customFormat="false" ht="24" hidden="false" customHeight="true" outlineLevel="0" collapsed="false">
      <c r="B14" s="6" t="s">
        <v>28</v>
      </c>
      <c r="C14" s="6"/>
      <c r="D14" s="6"/>
      <c r="E14" s="6"/>
      <c r="F14" s="6"/>
      <c r="G14" s="7" t="s">
        <v>29</v>
      </c>
      <c r="H14" s="8" t="n">
        <f aca="false">MAX(0, MIN(H10, ni_upper) - ni_lower) * ni_main_rate + MAX(0, H10 - ni_upper) * ni_upper_rate</f>
        <v>2794.4</v>
      </c>
    </row>
    <row r="15" customFormat="false" ht="19.5" hidden="false" customHeight="true" outlineLevel="0" collapsed="false">
      <c r="B15" s="9" t="s">
        <v>30</v>
      </c>
      <c r="C15" s="20" t="n">
        <f aca="false">emp_salary</f>
        <v>50000</v>
      </c>
      <c r="E15" s="21" t="s">
        <v>31</v>
      </c>
      <c r="G15" s="7" t="s">
        <v>32</v>
      </c>
      <c r="H15" s="8" t="n">
        <f aca="false">IF(emp_slplan="None", 0, IF(emp_slplan="Plan 1", MAX(0, H7 - sl_plan1_thresh) * sl_main_rate, IF(emp_slplan="Plan 2", MAX(0, H7 - sl_plan2_thresh) * sl_main_rate, IF(emp_slplan="Plan 4", MAX(0, H7 - sl_plan4_thresh) * sl_main_rate, IF(emp_slplan="Plan 5", MAX(0, H7 - sl_plan5_thresh) * sl_main_rate, IF(emp_slplan="Postgraduate", MAX(0, H7 - sl_pg_thresh) * sl_pg_rate, 0))))))</f>
        <v>0</v>
      </c>
    </row>
    <row r="16" customFormat="false" ht="19.5" hidden="false" customHeight="true" outlineLevel="0" collapsed="false">
      <c r="B16" s="9" t="s">
        <v>33</v>
      </c>
      <c r="C16" s="20" t="n">
        <f aca="false">emp_bonus</f>
        <v>0</v>
      </c>
      <c r="E16" s="22" t="s">
        <v>34</v>
      </c>
      <c r="F16" s="23" t="n">
        <f aca="false">H11</f>
        <v>12570</v>
      </c>
      <c r="G16" s="7" t="s">
        <v>35</v>
      </c>
      <c r="H16" s="8" t="n">
        <f aca="false">H7 - H8 - H13 - H14 - H15</f>
        <v>37719.6</v>
      </c>
    </row>
    <row r="17" customFormat="false" ht="19.5" hidden="false" customHeight="true" outlineLevel="0" collapsed="false">
      <c r="B17" s="18" t="s">
        <v>36</v>
      </c>
      <c r="C17" s="24" t="n">
        <f aca="false">H7</f>
        <v>50000</v>
      </c>
      <c r="E17" s="22" t="s">
        <v>37</v>
      </c>
      <c r="F17" s="23" t="n">
        <f aca="false">H12</f>
        <v>34930</v>
      </c>
    </row>
    <row r="18" customFormat="false" ht="19.5" hidden="false" customHeight="true" outlineLevel="0" collapsed="false">
      <c r="B18" s="9" t="s">
        <v>38</v>
      </c>
      <c r="C18" s="25" t="n">
        <f aca="false">-H8</f>
        <v>-2500</v>
      </c>
      <c r="E18" s="22" t="s">
        <v>39</v>
      </c>
      <c r="F18" s="26" t="n">
        <f aca="false">(H13+H14)/H7</f>
        <v>0.195608</v>
      </c>
    </row>
    <row r="19" customFormat="false" ht="19.5" hidden="false" customHeight="true" outlineLevel="0" collapsed="false">
      <c r="B19" s="9" t="s">
        <v>40</v>
      </c>
      <c r="C19" s="25" t="n">
        <f aca="false">-H13</f>
        <v>-6986</v>
      </c>
      <c r="E19" s="22" t="s">
        <v>41</v>
      </c>
      <c r="F19" s="27" t="n">
        <f aca="false">ROUND(H16/H7*100, 0)</f>
        <v>75</v>
      </c>
    </row>
    <row r="20" customFormat="false" ht="19.5" hidden="false" customHeight="true" outlineLevel="0" collapsed="false">
      <c r="B20" s="9" t="s">
        <v>42</v>
      </c>
      <c r="C20" s="25" t="n">
        <f aca="false">-H14</f>
        <v>-2794.4</v>
      </c>
    </row>
    <row r="21" customFormat="false" ht="19.5" hidden="false" customHeight="true" outlineLevel="0" collapsed="false">
      <c r="B21" s="9" t="s">
        <v>43</v>
      </c>
      <c r="C21" s="25" t="n">
        <f aca="false">-H15</f>
        <v>-0</v>
      </c>
    </row>
    <row r="22" customFormat="false" ht="19.5" hidden="false" customHeight="true" outlineLevel="0" collapsed="false">
      <c r="B22" s="18" t="s">
        <v>44</v>
      </c>
      <c r="C22" s="28" t="n">
        <f aca="false">H16</f>
        <v>37719.6</v>
      </c>
    </row>
    <row r="24" customFormat="false" ht="15" hidden="false" customHeight="true" outlineLevel="0" collapsed="false">
      <c r="B24" s="29" t="s">
        <v>45</v>
      </c>
      <c r="C24" s="29"/>
      <c r="D24" s="29"/>
      <c r="E24" s="29"/>
      <c r="F24" s="29"/>
    </row>
    <row r="25" customFormat="false" ht="15" hidden="false" customHeight="true" outlineLevel="0" collapsed="false">
      <c r="B25" s="29" t="s">
        <v>46</v>
      </c>
      <c r="C25" s="29"/>
      <c r="D25" s="29"/>
      <c r="E25" s="29"/>
      <c r="F25" s="29"/>
    </row>
    <row r="26" customFormat="false" ht="15" hidden="false" customHeight="true" outlineLevel="0" collapsed="false">
      <c r="B26" s="30" t="s">
        <v>47</v>
      </c>
      <c r="C26" s="30"/>
      <c r="D26" s="30"/>
      <c r="E26" s="30"/>
      <c r="F26" s="30"/>
    </row>
  </sheetData>
  <mergeCells count="6">
    <mergeCell ref="B6:C6"/>
    <mergeCell ref="E6:F6"/>
    <mergeCell ref="B14:F14"/>
    <mergeCell ref="B24:F24"/>
    <mergeCell ref="B25:F25"/>
    <mergeCell ref="B26:F26"/>
  </mergeCells>
  <dataValidations count="3">
    <dataValidation allowBlank="false" errorStyle="stop" operator="between" showDropDown="false" showErrorMessage="false" showInputMessage="false" sqref="C9" type="list">
      <formula1>"England,Scotland"</formula1>
      <formula2>0</formula2>
    </dataValidation>
    <dataValidation allowBlank="false" errorStyle="stop" operator="between" showDropDown="false" showErrorMessage="false" showInputMessage="false" sqref="C12" type="list">
      <formula1>"None,Plan 1,Plan 2,Plan 4,Plan 5,Postgraduate"</formula1>
      <formula2>0</formula2>
    </dataValidation>
    <dataValidation allowBlank="false" errorStyle="stop" operator="between" showDropDown="false" showErrorMessage="false" showInputMessage="false" sqref="C11" type="list">
      <formula1>"Salary Sacrifice,Auto-enrolment (relief at source)"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B2:H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3" min="3" style="1" width="16"/>
    <col collapsed="false" customWidth="true" hidden="false" outlineLevel="0" max="4" min="4" style="1" width="4"/>
    <col collapsed="false" customWidth="true" hidden="false" outlineLevel="0" max="5" min="5" style="1" width="32"/>
    <col collapsed="false" customWidth="true" hidden="false" outlineLevel="0" max="6" min="6" style="1" width="16"/>
    <col collapsed="false" customWidth="true" hidden="true" outlineLevel="0" max="7" min="7" style="1" width="2"/>
    <col collapsed="false" customWidth="true" hidden="true" outlineLevel="0" max="8" min="8" style="1" width="13"/>
  </cols>
  <sheetData>
    <row r="2" customFormat="false" ht="26.25" hidden="false" customHeight="true" outlineLevel="0" collapsed="false">
      <c r="B2" s="2" t="s">
        <v>0</v>
      </c>
      <c r="F2" s="3" t="s">
        <v>1</v>
      </c>
    </row>
    <row r="3" customFormat="false" ht="15.75" hidden="false" customHeight="true" outlineLevel="0" collapsed="false">
      <c r="B3" s="4" t="s">
        <v>48</v>
      </c>
    </row>
    <row r="4" customFormat="false" ht="15" hidden="false" customHeight="true" outlineLevel="0" collapsed="false">
      <c r="B4" s="5" t="s">
        <v>49</v>
      </c>
    </row>
    <row r="6" customFormat="false" ht="24" hidden="false" customHeight="true" outlineLevel="0" collapsed="false">
      <c r="B6" s="6" t="s">
        <v>4</v>
      </c>
      <c r="C6" s="6"/>
      <c r="E6" s="6" t="s">
        <v>5</v>
      </c>
      <c r="F6" s="6"/>
      <c r="G6" s="7" t="s">
        <v>6</v>
      </c>
      <c r="H6" s="8"/>
    </row>
    <row r="7" customFormat="false" ht="21.75" hidden="false" customHeight="true" outlineLevel="0" collapsed="false">
      <c r="B7" s="9" t="s">
        <v>50</v>
      </c>
      <c r="C7" s="10" t="n">
        <v>50000</v>
      </c>
      <c r="E7" s="11" t="s">
        <v>8</v>
      </c>
      <c r="F7" s="12" t="n">
        <f aca="false">H14</f>
        <v>40078.4</v>
      </c>
      <c r="G7" s="7" t="s">
        <v>16</v>
      </c>
      <c r="H7" s="8" t="n">
        <f aca="false">MAX(0, se_profit - se_pension)</f>
        <v>50000</v>
      </c>
    </row>
    <row r="8" customFormat="false" ht="21.75" hidden="false" customHeight="true" outlineLevel="0" collapsed="false">
      <c r="B8" s="9" t="s">
        <v>13</v>
      </c>
      <c r="C8" s="15" t="s">
        <v>14</v>
      </c>
      <c r="E8" s="13" t="s">
        <v>11</v>
      </c>
      <c r="F8" s="14" t="n">
        <f aca="false">H14/12</f>
        <v>3339.86666666667</v>
      </c>
      <c r="G8" s="7" t="s">
        <v>22</v>
      </c>
      <c r="H8" s="8" t="n">
        <f aca="false">MAX(0, pa_full - MAX(0, (H7 - pa_taper_start) * pa_taper_rate))</f>
        <v>12570</v>
      </c>
    </row>
    <row r="9" customFormat="false" ht="21.75" hidden="false" customHeight="true" outlineLevel="0" collapsed="false">
      <c r="B9" s="9" t="s">
        <v>51</v>
      </c>
      <c r="C9" s="10" t="n">
        <v>0</v>
      </c>
      <c r="E9" s="9" t="s">
        <v>15</v>
      </c>
      <c r="F9" s="16" t="n">
        <f aca="false">H14/52</f>
        <v>770.738461538462</v>
      </c>
      <c r="G9" s="7" t="s">
        <v>26</v>
      </c>
      <c r="H9" s="8" t="n">
        <f aca="false">MAX(0, H7 - H8)</f>
        <v>37430</v>
      </c>
    </row>
    <row r="10" customFormat="false" ht="21.75" hidden="false" customHeight="true" outlineLevel="0" collapsed="false">
      <c r="B10" s="9" t="s">
        <v>52</v>
      </c>
      <c r="C10" s="15" t="s">
        <v>53</v>
      </c>
      <c r="E10" s="9" t="s">
        <v>18</v>
      </c>
      <c r="F10" s="16" t="n">
        <f aca="false">H14/260</f>
        <v>154.147692307692</v>
      </c>
      <c r="G10" s="7" t="s">
        <v>27</v>
      </c>
      <c r="H10" s="8" t="n">
        <f aca="false">IF(se_region="Scotland", MAX(0, MIN(H7, sco_starter_top) - H8) * sco_starter_rate + MAX(0, MIN(H7, sco_basic_top) - MAX(H8, sco_starter_top)) * sco_basic_rate + MAX(0, MIN(H7, sco_inter_top) - MAX(H8, sco_basic_top)) * sco_inter_rate + MAX(0, MIN(H7, sco_higher_top) - MAX(H8, sco_inter_top)) * sco_higher_rate + MAX(0, MIN(H7, sco_advanced_top) - MAX(H8, sco_higher_top)) * sco_advanced_rate + MAX(0, H7 - MAX(H8, sco_advanced_top)) * sco_top_rate, MIN(MAX(0, H7 - H8), eng_basic_band) * eng_basic_rate + MAX(0, MIN(H7, eng_addl_threshold) - (H8 + eng_basic_band)) * eng_higher_rate + MAX(0, H7 - eng_addl_threshold) * eng_addl_rate)</f>
        <v>7486</v>
      </c>
    </row>
    <row r="11" customFormat="false" ht="21.75" hidden="false" customHeight="true" outlineLevel="0" collapsed="false">
      <c r="B11" s="9" t="s">
        <v>23</v>
      </c>
      <c r="C11" s="15" t="s">
        <v>24</v>
      </c>
      <c r="G11" s="7" t="s">
        <v>54</v>
      </c>
      <c r="H11" s="8" t="n">
        <f aca="false">MAX(0, MIN(se_profit, c4_upper) - c4_lower) * c4_main_rate + MAX(0, se_profit - c4_upper) * c4_upper_rate</f>
        <v>2245.8</v>
      </c>
    </row>
    <row r="12" customFormat="false" ht="21.75" hidden="false" customHeight="true" outlineLevel="0" collapsed="false">
      <c r="E12" s="18" t="s">
        <v>25</v>
      </c>
      <c r="F12" s="19" t="n">
        <f aca="false">(H10+H11+H12+H13)/se_profit</f>
        <v>0.198432</v>
      </c>
      <c r="G12" s="7" t="s">
        <v>55</v>
      </c>
      <c r="H12" s="8" t="n">
        <f aca="false">IF(se_c2vol="Yes", c2_weekly * 52, 0)</f>
        <v>189.8</v>
      </c>
    </row>
    <row r="13" customFormat="false" ht="24" hidden="false" customHeight="true" outlineLevel="0" collapsed="false">
      <c r="B13" s="6" t="s">
        <v>28</v>
      </c>
      <c r="C13" s="6"/>
      <c r="D13" s="6"/>
      <c r="E13" s="6"/>
      <c r="F13" s="6"/>
      <c r="G13" s="7" t="s">
        <v>32</v>
      </c>
      <c r="H13" s="8" t="n">
        <f aca="false">IF(se_slplan="None", 0, IF(se_slplan="Plan 1", MAX(0, se_profit - sl_plan1_thresh) * sl_main_rate, IF(se_slplan="Plan 2", MAX(0, se_profit - sl_plan2_thresh) * sl_main_rate, IF(se_slplan="Plan 4", MAX(0, se_profit - sl_plan4_thresh) * sl_main_rate, IF(se_slplan="Plan 5", MAX(0, se_profit - sl_plan5_thresh) * sl_main_rate, IF(se_slplan="Postgraduate", MAX(0, se_profit - sl_pg_thresh) * sl_pg_rate, 0))))))</f>
        <v>0</v>
      </c>
    </row>
    <row r="14" customFormat="false" ht="19.5" hidden="false" customHeight="true" outlineLevel="0" collapsed="false">
      <c r="B14" s="18" t="s">
        <v>50</v>
      </c>
      <c r="C14" s="24" t="n">
        <f aca="false">se_profit</f>
        <v>50000</v>
      </c>
      <c r="E14" s="21" t="s">
        <v>31</v>
      </c>
      <c r="G14" s="7" t="s">
        <v>35</v>
      </c>
      <c r="H14" s="8" t="n">
        <f aca="false">se_profit - se_pension - H10 - H11 - H12 - H13</f>
        <v>40078.4</v>
      </c>
    </row>
    <row r="15" customFormat="false" ht="19.5" hidden="false" customHeight="true" outlineLevel="0" collapsed="false">
      <c r="B15" s="9" t="s">
        <v>56</v>
      </c>
      <c r="C15" s="25" t="n">
        <f aca="false">-se_pension</f>
        <v>-0</v>
      </c>
      <c r="E15" s="22" t="s">
        <v>57</v>
      </c>
      <c r="F15" s="23" t="n">
        <f aca="false">H8</f>
        <v>12570</v>
      </c>
    </row>
    <row r="16" customFormat="false" ht="19.5" hidden="false" customHeight="true" outlineLevel="0" collapsed="false">
      <c r="B16" s="9" t="s">
        <v>40</v>
      </c>
      <c r="C16" s="25" t="n">
        <f aca="false">-H10</f>
        <v>-7486</v>
      </c>
      <c r="E16" s="22" t="s">
        <v>58</v>
      </c>
      <c r="F16" s="23" t="n">
        <f aca="false">H11</f>
        <v>2245.8</v>
      </c>
    </row>
    <row r="17" customFormat="false" ht="19.5" hidden="false" customHeight="true" outlineLevel="0" collapsed="false">
      <c r="B17" s="9" t="s">
        <v>59</v>
      </c>
      <c r="C17" s="25" t="n">
        <f aca="false">-H11</f>
        <v>-2245.8</v>
      </c>
      <c r="E17" s="22" t="s">
        <v>60</v>
      </c>
      <c r="F17" s="23" t="n">
        <f aca="false">H11+H12</f>
        <v>2435.6</v>
      </c>
    </row>
    <row r="18" customFormat="false" ht="19.5" hidden="false" customHeight="true" outlineLevel="0" collapsed="false">
      <c r="B18" s="9" t="s">
        <v>61</v>
      </c>
      <c r="C18" s="25" t="n">
        <f aca="false">-H12</f>
        <v>-189.8</v>
      </c>
      <c r="E18" s="22" t="s">
        <v>62</v>
      </c>
      <c r="F18" s="26" t="n">
        <f aca="false">(H10+H11+H12)/se_profit</f>
        <v>0.198432</v>
      </c>
    </row>
    <row r="19" customFormat="false" ht="19.5" hidden="false" customHeight="true" outlineLevel="0" collapsed="false">
      <c r="B19" s="9" t="s">
        <v>43</v>
      </c>
      <c r="C19" s="25" t="n">
        <f aca="false">-H13</f>
        <v>-0</v>
      </c>
      <c r="E19" s="22" t="s">
        <v>41</v>
      </c>
      <c r="F19" s="31" t="n">
        <f aca="false">ROUND(H14/se_profit*100, 0)</f>
        <v>80</v>
      </c>
    </row>
    <row r="20" customFormat="false" ht="19.5" hidden="false" customHeight="true" outlineLevel="0" collapsed="false">
      <c r="B20" s="18" t="s">
        <v>44</v>
      </c>
      <c r="C20" s="28" t="n">
        <f aca="false">H14</f>
        <v>40078.4</v>
      </c>
    </row>
    <row r="22" customFormat="false" ht="15" hidden="false" customHeight="true" outlineLevel="0" collapsed="false">
      <c r="B22" s="32" t="s">
        <v>63</v>
      </c>
      <c r="C22" s="32"/>
      <c r="D22" s="32"/>
      <c r="E22" s="32"/>
      <c r="F22" s="32"/>
    </row>
    <row r="24" customFormat="false" ht="15" hidden="false" customHeight="true" outlineLevel="0" collapsed="false">
      <c r="B24" s="29" t="s">
        <v>45</v>
      </c>
      <c r="C24" s="29"/>
      <c r="D24" s="29"/>
      <c r="E24" s="29"/>
      <c r="F24" s="29"/>
    </row>
    <row r="25" customFormat="false" ht="15" hidden="false" customHeight="true" outlineLevel="0" collapsed="false">
      <c r="B25" s="29" t="s">
        <v>46</v>
      </c>
      <c r="C25" s="29"/>
      <c r="D25" s="29"/>
      <c r="E25" s="29"/>
      <c r="F25" s="29"/>
    </row>
    <row r="26" customFormat="false" ht="15" hidden="false" customHeight="true" outlineLevel="0" collapsed="false">
      <c r="B26" s="30" t="s">
        <v>47</v>
      </c>
      <c r="C26" s="30"/>
      <c r="D26" s="30"/>
      <c r="E26" s="30"/>
      <c r="F26" s="30"/>
    </row>
  </sheetData>
  <mergeCells count="7">
    <mergeCell ref="B6:C6"/>
    <mergeCell ref="E6:F6"/>
    <mergeCell ref="B13:F13"/>
    <mergeCell ref="B22:F22"/>
    <mergeCell ref="B24:F24"/>
    <mergeCell ref="B25:F25"/>
    <mergeCell ref="B26:F26"/>
  </mergeCells>
  <dataValidations count="3">
    <dataValidation allowBlank="false" errorStyle="stop" operator="between" showDropDown="false" showErrorMessage="false" showInputMessage="false" sqref="C8" type="list">
      <formula1>"England,Scotland"</formula1>
      <formula2>0</formula2>
    </dataValidation>
    <dataValidation allowBlank="false" errorStyle="stop" operator="between" showDropDown="false" showErrorMessage="false" showInputMessage="false" sqref="C11" type="list">
      <formula1>"None,Plan 1,Plan 2,Plan 4,Plan 5,Postgraduate"</formula1>
      <formula2>0</formula2>
    </dataValidation>
    <dataValidation allowBlank="false" errorStyle="stop" operator="between" showDropDown="false" showErrorMessage="false" showInputMessage="false" sqref="C10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5CF6"/>
    <pageSetUpPr fitToPage="false"/>
  </sheetPr>
  <dimension ref="B2:H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3" min="3" style="1" width="16"/>
    <col collapsed="false" customWidth="true" hidden="false" outlineLevel="0" max="4" min="4" style="1" width="4"/>
    <col collapsed="false" customWidth="true" hidden="false" outlineLevel="0" max="5" min="5" style="1" width="32"/>
    <col collapsed="false" customWidth="true" hidden="false" outlineLevel="0" max="6" min="6" style="1" width="16"/>
    <col collapsed="false" customWidth="true" hidden="true" outlineLevel="0" max="7" min="7" style="1" width="2"/>
    <col collapsed="false" customWidth="true" hidden="true" outlineLevel="0" max="8" min="8" style="1" width="13"/>
  </cols>
  <sheetData>
    <row r="2" customFormat="false" ht="26.25" hidden="false" customHeight="true" outlineLevel="0" collapsed="false">
      <c r="B2" s="2" t="s">
        <v>0</v>
      </c>
      <c r="F2" s="3" t="s">
        <v>1</v>
      </c>
    </row>
    <row r="3" customFormat="false" ht="15.75" hidden="false" customHeight="true" outlineLevel="0" collapsed="false">
      <c r="B3" s="4" t="s">
        <v>64</v>
      </c>
    </row>
    <row r="4" customFormat="false" ht="15" hidden="false" customHeight="true" outlineLevel="0" collapsed="false">
      <c r="B4" s="5" t="s">
        <v>65</v>
      </c>
    </row>
    <row r="6" customFormat="false" ht="24" hidden="false" customHeight="true" outlineLevel="0" collapsed="false">
      <c r="B6" s="6" t="s">
        <v>4</v>
      </c>
      <c r="C6" s="6"/>
      <c r="E6" s="6" t="s">
        <v>5</v>
      </c>
      <c r="F6" s="6"/>
      <c r="G6" s="7" t="s">
        <v>6</v>
      </c>
      <c r="H6" s="8"/>
    </row>
    <row r="7" customFormat="false" ht="21.75" hidden="false" customHeight="true" outlineLevel="0" collapsed="false">
      <c r="B7" s="9" t="s">
        <v>66</v>
      </c>
      <c r="C7" s="10" t="n">
        <v>500</v>
      </c>
      <c r="E7" s="11" t="s">
        <v>8</v>
      </c>
      <c r="F7" s="12" t="n">
        <f aca="false">H30</f>
        <v>70438.65309375</v>
      </c>
      <c r="G7" s="7" t="s">
        <v>67</v>
      </c>
      <c r="H7" s="8" t="n">
        <f aca="false">ltd_dayrate * ltd_days</f>
        <v>110000</v>
      </c>
    </row>
    <row r="8" customFormat="false" ht="21.75" hidden="false" customHeight="true" outlineLevel="0" collapsed="false">
      <c r="B8" s="9" t="s">
        <v>68</v>
      </c>
      <c r="C8" s="33" t="n">
        <v>220</v>
      </c>
      <c r="E8" s="13" t="s">
        <v>11</v>
      </c>
      <c r="F8" s="14" t="n">
        <f aca="false">H30/12</f>
        <v>5869.8877578125</v>
      </c>
      <c r="G8" s="7" t="s">
        <v>69</v>
      </c>
      <c r="H8" s="8"/>
    </row>
    <row r="9" customFormat="false" ht="21.75" hidden="false" customHeight="true" outlineLevel="0" collapsed="false">
      <c r="B9" s="9" t="s">
        <v>70</v>
      </c>
      <c r="C9" s="15" t="s">
        <v>71</v>
      </c>
      <c r="E9" s="9" t="s">
        <v>15</v>
      </c>
      <c r="F9" s="16" t="n">
        <f aca="false">H30/52</f>
        <v>1354.58948257212</v>
      </c>
      <c r="G9" s="7" t="s">
        <v>72</v>
      </c>
      <c r="H9" s="8" t="n">
        <f aca="false">MAX(0, H7 - ltd_expenses - ltd_salary - MAX(0, ltd_salary - er_ni_threshold) * er_ni_rate - ltd_pension)</f>
        <v>94294.5</v>
      </c>
    </row>
    <row r="10" customFormat="false" ht="21.75" hidden="false" customHeight="true" outlineLevel="0" collapsed="false">
      <c r="B10" s="9" t="s">
        <v>73</v>
      </c>
      <c r="C10" s="10" t="n">
        <v>12570</v>
      </c>
      <c r="E10" s="9" t="s">
        <v>18</v>
      </c>
      <c r="F10" s="16" t="n">
        <f aca="false">H30/260</f>
        <v>270.917896514423</v>
      </c>
      <c r="G10" s="7" t="s">
        <v>74</v>
      </c>
      <c r="H10" s="8" t="n">
        <f aca="false">IF(H9 &lt;= ct_small_top, MAX(0, H9) * ct_small_rate, IF(H9 &lt;= ct_main_start, (H9 * ct_main_rate) - ((ct_main_start - H9) * ct_mr_fraction), H9 * ct_main_rate))</f>
        <v>21238.0425</v>
      </c>
    </row>
    <row r="11" customFormat="false" ht="21.75" hidden="false" customHeight="true" outlineLevel="0" collapsed="false">
      <c r="B11" s="9" t="s">
        <v>75</v>
      </c>
      <c r="C11" s="10" t="n">
        <v>2000</v>
      </c>
      <c r="G11" s="7" t="s">
        <v>76</v>
      </c>
      <c r="H11" s="8" t="n">
        <f aca="false">MAX(0, H9 - H10)</f>
        <v>73056.4575</v>
      </c>
    </row>
    <row r="12" customFormat="false" ht="21.75" hidden="false" customHeight="true" outlineLevel="0" collapsed="false">
      <c r="B12" s="9" t="s">
        <v>77</v>
      </c>
      <c r="C12" s="10" t="n">
        <v>0</v>
      </c>
      <c r="E12" s="18" t="s">
        <v>78</v>
      </c>
      <c r="F12" s="19" t="n">
        <f aca="false">H31/H7</f>
        <v>0.331144062784091</v>
      </c>
      <c r="G12" s="7" t="s">
        <v>79</v>
      </c>
      <c r="H12" s="8" t="n">
        <f aca="false">H11</f>
        <v>73056.4575</v>
      </c>
    </row>
    <row r="13" customFormat="false" ht="21.75" hidden="false" customHeight="true" outlineLevel="0" collapsed="false">
      <c r="B13" s="9" t="s">
        <v>13</v>
      </c>
      <c r="C13" s="15" t="s">
        <v>14</v>
      </c>
      <c r="G13" s="7" t="s">
        <v>80</v>
      </c>
      <c r="H13" s="8" t="n">
        <f aca="false">MAX(0, pa_full - MAX(0, ((ltd_salary + H12) - pa_taper_start) * pa_taper_rate))</f>
        <v>12570</v>
      </c>
    </row>
    <row r="14" customFormat="false" ht="21.75" hidden="false" customHeight="true" outlineLevel="0" collapsed="false">
      <c r="B14" s="9" t="s">
        <v>23</v>
      </c>
      <c r="C14" s="15" t="s">
        <v>24</v>
      </c>
      <c r="G14" s="7" t="s">
        <v>81</v>
      </c>
      <c r="H14" s="8" t="n">
        <f aca="false">IF(ltd_region="Scotland", MAX(0, MIN(ltd_salary, sco_starter_top) - H13) * sco_starter_rate + MAX(0, MIN(ltd_salary, sco_basic_top) - MAX(H13, sco_starter_top)) * sco_basic_rate + MAX(0, MIN(ltd_salary, sco_inter_top) - MAX(H13, sco_basic_top)) * sco_inter_rate + MAX(0, MIN(ltd_salary, sco_higher_top) - MAX(H13, sco_inter_top)) * sco_higher_rate + MAX(0, MIN(ltd_salary, sco_advanced_top) - MAX(H13, sco_higher_top)) * sco_advanced_rate + MAX(0, ltd_salary - MAX(H13, sco_advanced_top)) * sco_top_rate, MIN(MAX(0, ltd_salary - H13), eng_basic_band) * eng_basic_rate + MAX(0, MIN(ltd_salary, eng_addl_threshold) - (H13 + eng_basic_band)) * eng_higher_rate + MAX(0, ltd_salary - eng_addl_threshold) * eng_addl_rate)</f>
        <v>0</v>
      </c>
    </row>
    <row r="15" customFormat="false" ht="15" hidden="false" customHeight="true" outlineLevel="0" collapsed="false">
      <c r="G15" s="7" t="s">
        <v>82</v>
      </c>
      <c r="H15" s="8" t="n">
        <f aca="false">MAX(0, MIN(ltd_salary, ni_upper) - ni_lower) * ni_main_rate + MAX(0, ltd_salary - ni_upper) * ni_upper_rate</f>
        <v>0</v>
      </c>
    </row>
    <row r="16" customFormat="false" ht="24" hidden="false" customHeight="true" outlineLevel="0" collapsed="false">
      <c r="B16" s="6" t="s">
        <v>28</v>
      </c>
      <c r="C16" s="6"/>
      <c r="D16" s="6"/>
      <c r="E16" s="6"/>
      <c r="F16" s="6"/>
      <c r="G16" s="7" t="s">
        <v>83</v>
      </c>
      <c r="H16" s="8" t="n">
        <f aca="false">MAX(0, MIN(ltd_salary + H12, H13 + eng_basic_band) - MAX(ltd_salary, H13))</f>
        <v>37700</v>
      </c>
    </row>
    <row r="17" customFormat="false" ht="19.5" hidden="false" customHeight="true" outlineLevel="0" collapsed="false">
      <c r="B17" s="18" t="s">
        <v>84</v>
      </c>
      <c r="C17" s="24" t="n">
        <f aca="false">H7</f>
        <v>110000</v>
      </c>
      <c r="E17" s="21" t="s">
        <v>85</v>
      </c>
      <c r="G17" s="7" t="s">
        <v>86</v>
      </c>
      <c r="H17" s="8" t="n">
        <f aca="false">MAX(0, MIN(ltd_salary + H12, eng_addl_threshold) - MAX(MAX(ltd_salary, H13), H13 + eng_basic_band))</f>
        <v>35356.4575</v>
      </c>
    </row>
    <row r="18" customFormat="false" ht="19.5" hidden="false" customHeight="true" outlineLevel="0" collapsed="false">
      <c r="B18" s="9" t="s">
        <v>87</v>
      </c>
      <c r="C18" s="25" t="n">
        <f aca="false">IF(ltd_ir35="Outside IR35", -ltd_expenses, 0)</f>
        <v>-2000</v>
      </c>
      <c r="E18" s="22" t="s">
        <v>88</v>
      </c>
      <c r="F18" s="23" t="n">
        <f aca="false">H7</f>
        <v>110000</v>
      </c>
      <c r="G18" s="7" t="s">
        <v>89</v>
      </c>
      <c r="H18" s="8" t="n">
        <f aca="false">MAX(0, (ltd_salary + H12) - MAX(MAX(ltd_salary, H13), eng_addl_threshold))</f>
        <v>0</v>
      </c>
    </row>
    <row r="19" customFormat="false" ht="19.5" hidden="false" customHeight="true" outlineLevel="0" collapsed="false">
      <c r="B19" s="9" t="s">
        <v>90</v>
      </c>
      <c r="C19" s="25" t="n">
        <f aca="false">IF(ltd_ir35="Outside IR35", -ltd_salary, 0)</f>
        <v>-12570</v>
      </c>
      <c r="E19" s="22" t="s">
        <v>91</v>
      </c>
      <c r="F19" s="23" t="n">
        <f aca="false">H31</f>
        <v>36425.84690625</v>
      </c>
      <c r="G19" s="7" t="s">
        <v>92</v>
      </c>
      <c r="H19" s="8" t="n">
        <f aca="false">MAX(0, H16 - div_allowance) * div_basic_rate + MAX(0, H17 - MAX(0, div_allowance - H16)) * div_higher_rate + MAX(0, H18 - MAX(0, div_allowance - H16 - H17)) * div_addl_rate</f>
        <v>15187.80440625</v>
      </c>
    </row>
    <row r="20" customFormat="false" ht="19.5" hidden="false" customHeight="true" outlineLevel="0" collapsed="false">
      <c r="B20" s="9" t="s">
        <v>93</v>
      </c>
      <c r="C20" s="25" t="n">
        <f aca="false">IF(ltd_ir35="Outside IR35", -MAX(0, ltd_salary - er_ni_threshold) * er_ni_rate, -(H7 - H23))</f>
        <v>-1135.5</v>
      </c>
      <c r="E20" s="22" t="s">
        <v>94</v>
      </c>
      <c r="F20" s="26" t="n">
        <f aca="false">H31/H7</f>
        <v>0.331144062784091</v>
      </c>
      <c r="G20" s="7" t="s">
        <v>95</v>
      </c>
      <c r="H20" s="8" t="n">
        <f aca="false">IF(ltd_slplan="None", 0, IF(ltd_slplan="Plan 1", MAX(0, (ltd_salary + H12) - sl_plan1_thresh) * sl_main_rate, IF(ltd_slplan="Plan 2", MAX(0, (ltd_salary + H12) - sl_plan2_thresh) * sl_main_rate, IF(ltd_slplan="Plan 4", MAX(0, (ltd_salary + H12) - sl_plan4_thresh) * sl_main_rate, IF(ltd_slplan="Plan 5", MAX(0, (ltd_salary + H12) - sl_plan5_thresh) * sl_main_rate, IF(ltd_slplan="Postgraduate", MAX(0, (ltd_salary + H12) - sl_pg_thresh) * sl_pg_rate, 0))))))</f>
        <v>0</v>
      </c>
    </row>
    <row r="21" customFormat="false" ht="19.5" hidden="false" customHeight="true" outlineLevel="0" collapsed="false">
      <c r="B21" s="9" t="s">
        <v>96</v>
      </c>
      <c r="C21" s="25" t="n">
        <f aca="false">IF(ltd_ir35="Outside IR35", -ltd_pension, 0)</f>
        <v>-0</v>
      </c>
      <c r="E21" s="22" t="s">
        <v>97</v>
      </c>
      <c r="F21" s="31" t="n">
        <f aca="false">ROUND(H30/H7*100, 0)</f>
        <v>64</v>
      </c>
      <c r="G21" s="7" t="s">
        <v>98</v>
      </c>
      <c r="H21" s="8" t="n">
        <f aca="false">ltd_salary + H12 - H14 - H15 - H19 - H20</f>
        <v>70438.65309375</v>
      </c>
    </row>
    <row r="22" customFormat="false" ht="19.5" hidden="false" customHeight="true" outlineLevel="0" collapsed="false">
      <c r="B22" s="18" t="s">
        <v>99</v>
      </c>
      <c r="C22" s="24" t="n">
        <f aca="false">IF(ltd_ir35="Outside IR35", H9, 0)</f>
        <v>94294.5</v>
      </c>
      <c r="E22" s="22" t="s">
        <v>100</v>
      </c>
      <c r="F22" s="34" t="n">
        <f aca="false">H21 - H28</f>
        <v>4024.73135461957</v>
      </c>
      <c r="G22" s="7" t="s">
        <v>101</v>
      </c>
      <c r="H22" s="8"/>
    </row>
    <row r="23" customFormat="false" ht="19.5" hidden="false" customHeight="true" outlineLevel="0" collapsed="false">
      <c r="B23" s="9" t="s">
        <v>102</v>
      </c>
      <c r="C23" s="25" t="n">
        <f aca="false">IF(ltd_ir35="Outside IR35", -H10, 0)</f>
        <v>-21238.0425</v>
      </c>
      <c r="G23" s="7" t="s">
        <v>103</v>
      </c>
      <c r="H23" s="8" t="n">
        <f aca="false">(H7 + er_ni_threshold * er_ni_rate) / (1 + er_ni_rate)</f>
        <v>96304.347826087</v>
      </c>
    </row>
    <row r="24" customFormat="false" ht="19.5" hidden="false" customHeight="true" outlineLevel="0" collapsed="false">
      <c r="B24" s="18" t="s">
        <v>104</v>
      </c>
      <c r="C24" s="24" t="n">
        <f aca="false">IF(ltd_ir35="Outside IR35", H11, 0)</f>
        <v>73056.4575</v>
      </c>
      <c r="G24" s="7" t="s">
        <v>105</v>
      </c>
      <c r="H24" s="8" t="n">
        <f aca="false">MAX(0, pa_full - MAX(0, (H23 - pa_taper_start) * pa_taper_rate))</f>
        <v>12570</v>
      </c>
    </row>
    <row r="25" customFormat="false" ht="19.5" hidden="false" customHeight="true" outlineLevel="0" collapsed="false">
      <c r="B25" s="35"/>
      <c r="C25" s="36"/>
      <c r="G25" s="7" t="s">
        <v>106</v>
      </c>
      <c r="H25" s="8" t="n">
        <f aca="false">IF(ltd_region="Scotland", MAX(0, MIN(H23, sco_starter_top) - H24) * sco_starter_rate + MAX(0, MIN(H23, sco_basic_top) - MAX(H24, sco_starter_top)) * sco_basic_rate + MAX(0, MIN(H23, sco_inter_top) - MAX(H24, sco_basic_top)) * sco_inter_rate + MAX(0, MIN(H23, sco_higher_top) - MAX(H24, sco_inter_top)) * sco_higher_rate + MAX(0, MIN(H23, sco_advanced_top) - MAX(H24, sco_higher_top)) * sco_advanced_rate + MAX(0, H23 - MAX(H24, sco_advanced_top)) * sco_top_rate, MIN(MAX(0, H23 - H24), eng_basic_band) * eng_basic_rate + MAX(0, MIN(H23, eng_addl_threshold) - (H24 + eng_basic_band)) * eng_higher_rate + MAX(0, H23 - eng_addl_threshold) * eng_addl_rate)</f>
        <v>25953.7391304348</v>
      </c>
    </row>
    <row r="26" customFormat="false" ht="19.5" hidden="false" customHeight="true" outlineLevel="0" collapsed="false">
      <c r="B26" s="18" t="s">
        <v>107</v>
      </c>
      <c r="C26" s="24"/>
      <c r="G26" s="7" t="s">
        <v>108</v>
      </c>
      <c r="H26" s="8" t="n">
        <f aca="false">MAX(0, MIN(H23, ni_upper) - ni_lower) * ni_main_rate + MAX(0, H23 - ni_upper) * ni_upper_rate</f>
        <v>3936.68695652174</v>
      </c>
    </row>
    <row r="27" customFormat="false" ht="19.5" hidden="false" customHeight="true" outlineLevel="0" collapsed="false">
      <c r="B27" s="9" t="s">
        <v>109</v>
      </c>
      <c r="C27" s="25" t="n">
        <f aca="false">IF(ltd_ir35="Outside IR35", -H14, -H25)</f>
        <v>-0</v>
      </c>
      <c r="G27" s="7" t="s">
        <v>110</v>
      </c>
      <c r="H27" s="8" t="n">
        <f aca="false">IF(ltd_slplan="None", 0, IF(ltd_slplan="Plan 1", MAX(0, H23 - sl_plan1_thresh) * sl_main_rate, IF(ltd_slplan="Plan 2", MAX(0, H23 - sl_plan2_thresh) * sl_main_rate, IF(ltd_slplan="Plan 4", MAX(0, H23 - sl_plan4_thresh) * sl_main_rate, IF(ltd_slplan="Plan 5", MAX(0, H23 - sl_plan5_thresh) * sl_main_rate, IF(ltd_slplan="Postgraduate", MAX(0, H23 - sl_pg_thresh) * sl_pg_rate, 0))))))</f>
        <v>0</v>
      </c>
    </row>
    <row r="28" customFormat="false" ht="19.5" hidden="false" customHeight="true" outlineLevel="0" collapsed="false">
      <c r="B28" s="9" t="s">
        <v>111</v>
      </c>
      <c r="C28" s="25" t="n">
        <f aca="false">IF(ltd_ir35="Outside IR35", -H15, -H26)</f>
        <v>-0</v>
      </c>
      <c r="G28" s="7" t="s">
        <v>112</v>
      </c>
      <c r="H28" s="8" t="n">
        <f aca="false">H23 - H25 - H26 - H27</f>
        <v>66413.9217391304</v>
      </c>
    </row>
    <row r="29" customFormat="false" ht="19.5" hidden="false" customHeight="true" outlineLevel="0" collapsed="false">
      <c r="B29" s="9" t="s">
        <v>113</v>
      </c>
      <c r="C29" s="25" t="n">
        <f aca="false">IF(ltd_ir35="Outside IR35", -H19, 0)</f>
        <v>-15187.80440625</v>
      </c>
      <c r="G29" s="7"/>
      <c r="H29" s="8"/>
    </row>
    <row r="30" customFormat="false" ht="19.5" hidden="false" customHeight="true" outlineLevel="0" collapsed="false">
      <c r="B30" s="9" t="s">
        <v>114</v>
      </c>
      <c r="C30" s="25" t="n">
        <f aca="false">IF(ltd_ir35="Outside IR35", -H20, -H27)</f>
        <v>-0</v>
      </c>
      <c r="G30" s="7" t="s">
        <v>35</v>
      </c>
      <c r="H30" s="8" t="n">
        <f aca="false">IF(ltd_ir35="Inside IR35", H28, H21)</f>
        <v>70438.65309375</v>
      </c>
    </row>
    <row r="31" customFormat="false" ht="19.5" hidden="false" customHeight="true" outlineLevel="0" collapsed="false">
      <c r="B31" s="18" t="s">
        <v>115</v>
      </c>
      <c r="C31" s="28" t="n">
        <f aca="false">H30</f>
        <v>70438.65309375</v>
      </c>
      <c r="G31" s="7" t="s">
        <v>116</v>
      </c>
      <c r="H31" s="8" t="n">
        <f aca="false">IF(ltd_ir35="Inside IR35", H25 + H26 + H27 + (H7 - H23), H10 + H14 + H15 + H19 + H20)</f>
        <v>36425.84690625</v>
      </c>
    </row>
    <row r="33" customFormat="false" ht="15" hidden="false" customHeight="true" outlineLevel="0" collapsed="false">
      <c r="B33" s="32" t="s">
        <v>117</v>
      </c>
      <c r="C33" s="32"/>
      <c r="D33" s="32"/>
      <c r="E33" s="32"/>
      <c r="F33" s="32"/>
    </row>
    <row r="35" customFormat="false" ht="15" hidden="false" customHeight="true" outlineLevel="0" collapsed="false">
      <c r="B35" s="29" t="s">
        <v>45</v>
      </c>
      <c r="C35" s="29"/>
      <c r="D35" s="29"/>
      <c r="E35" s="29"/>
      <c r="F35" s="29"/>
    </row>
    <row r="36" customFormat="false" ht="15" hidden="false" customHeight="true" outlineLevel="0" collapsed="false">
      <c r="B36" s="29" t="s">
        <v>46</v>
      </c>
      <c r="C36" s="29"/>
      <c r="D36" s="29"/>
      <c r="E36" s="29"/>
      <c r="F36" s="29"/>
    </row>
    <row r="37" customFormat="false" ht="15" hidden="false" customHeight="true" outlineLevel="0" collapsed="false">
      <c r="B37" s="30" t="s">
        <v>47</v>
      </c>
      <c r="C37" s="30"/>
      <c r="D37" s="30"/>
      <c r="E37" s="30"/>
      <c r="F37" s="30"/>
    </row>
  </sheetData>
  <mergeCells count="7">
    <mergeCell ref="B6:C6"/>
    <mergeCell ref="E6:F6"/>
    <mergeCell ref="B16:F16"/>
    <mergeCell ref="B33:F33"/>
    <mergeCell ref="B35:F35"/>
    <mergeCell ref="B36:F36"/>
    <mergeCell ref="B37:F37"/>
  </mergeCells>
  <dataValidations count="3">
    <dataValidation allowBlank="false" errorStyle="stop" operator="between" showDropDown="false" showErrorMessage="false" showInputMessage="false" sqref="C9" type="list">
      <formula1>"Outside IR35,Inside IR35"</formula1>
      <formula2>0</formula2>
    </dataValidation>
    <dataValidation allowBlank="false" errorStyle="stop" operator="between" showDropDown="false" showErrorMessage="false" showInputMessage="false" sqref="C13" type="list">
      <formula1>"England,Scotland"</formula1>
      <formula2>0</formula2>
    </dataValidation>
    <dataValidation allowBlank="false" errorStyle="stop" operator="between" showDropDown="false" showErrorMessage="false" showInputMessage="false" sqref="C14" type="list">
      <formula1>"None,Plan 1,Plan 2,Plan 4,Plan 5,Postgraduate"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C80"/>
    <pageSetUpPr fitToPage="false"/>
  </sheetPr>
  <dimension ref="B2:E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3" min="3" style="1" width="16"/>
    <col collapsed="false" customWidth="true" hidden="false" outlineLevel="0" max="4" min="4" style="1" width="4"/>
    <col collapsed="false" customWidth="true" hidden="false" outlineLevel="0" max="5" min="5" style="1" width="60"/>
  </cols>
  <sheetData>
    <row r="2" customFormat="false" ht="19.5" hidden="false" customHeight="true" outlineLevel="0" collapsed="false">
      <c r="B2" s="37" t="s">
        <v>118</v>
      </c>
    </row>
    <row r="3" customFormat="false" ht="15" hidden="false" customHeight="true" outlineLevel="0" collapsed="false">
      <c r="B3" s="5" t="s">
        <v>119</v>
      </c>
    </row>
    <row r="4" customFormat="false" ht="15" hidden="false" customHeight="true" outlineLevel="0" collapsed="false">
      <c r="B4" s="38" t="s">
        <v>120</v>
      </c>
    </row>
    <row r="6" customFormat="false" ht="21.75" hidden="false" customHeight="true" outlineLevel="0" collapsed="false">
      <c r="B6" s="6" t="s">
        <v>121</v>
      </c>
      <c r="C6" s="6"/>
    </row>
    <row r="7" customFormat="false" ht="18" hidden="false" customHeight="true" outlineLevel="0" collapsed="false">
      <c r="B7" s="22" t="s">
        <v>122</v>
      </c>
      <c r="C7" s="39" t="n">
        <v>12570</v>
      </c>
      <c r="E7" s="7" t="s">
        <v>123</v>
      </c>
    </row>
    <row r="8" customFormat="false" ht="18" hidden="false" customHeight="true" outlineLevel="0" collapsed="false">
      <c r="B8" s="22" t="s">
        <v>124</v>
      </c>
      <c r="C8" s="39" t="n">
        <v>100000</v>
      </c>
      <c r="E8" s="7" t="s">
        <v>125</v>
      </c>
    </row>
    <row r="9" customFormat="false" ht="18" hidden="false" customHeight="true" outlineLevel="0" collapsed="false">
      <c r="B9" s="22" t="s">
        <v>126</v>
      </c>
      <c r="C9" s="40" t="n">
        <v>0.5</v>
      </c>
      <c r="E9" s="7" t="s">
        <v>127</v>
      </c>
    </row>
    <row r="11" customFormat="false" ht="21.75" hidden="false" customHeight="true" outlineLevel="0" collapsed="false">
      <c r="B11" s="6" t="s">
        <v>128</v>
      </c>
      <c r="C11" s="6"/>
    </row>
    <row r="12" customFormat="false" ht="18" hidden="false" customHeight="true" outlineLevel="0" collapsed="false">
      <c r="B12" s="22" t="s">
        <v>129</v>
      </c>
      <c r="C12" s="39" t="n">
        <v>37700</v>
      </c>
      <c r="E12" s="7" t="s">
        <v>130</v>
      </c>
    </row>
    <row r="13" customFormat="false" ht="18" hidden="false" customHeight="true" outlineLevel="0" collapsed="false">
      <c r="B13" s="22" t="s">
        <v>131</v>
      </c>
      <c r="C13" s="40" t="n">
        <v>0.2</v>
      </c>
      <c r="E13" s="7" t="s">
        <v>132</v>
      </c>
    </row>
    <row r="14" customFormat="false" ht="18" hidden="false" customHeight="true" outlineLevel="0" collapsed="false">
      <c r="B14" s="22" t="s">
        <v>133</v>
      </c>
      <c r="C14" s="39" t="n">
        <v>50270</v>
      </c>
      <c r="E14" s="7" t="s">
        <v>134</v>
      </c>
    </row>
    <row r="15" customFormat="false" ht="18" hidden="false" customHeight="true" outlineLevel="0" collapsed="false">
      <c r="B15" s="22" t="s">
        <v>135</v>
      </c>
      <c r="C15" s="40" t="n">
        <v>0.4</v>
      </c>
      <c r="E15" s="7" t="s">
        <v>132</v>
      </c>
    </row>
    <row r="16" customFormat="false" ht="18" hidden="false" customHeight="true" outlineLevel="0" collapsed="false">
      <c r="B16" s="22" t="s">
        <v>136</v>
      </c>
      <c r="C16" s="39" t="n">
        <v>125140</v>
      </c>
      <c r="E16" s="7" t="s">
        <v>137</v>
      </c>
    </row>
    <row r="17" customFormat="false" ht="18" hidden="false" customHeight="true" outlineLevel="0" collapsed="false">
      <c r="B17" s="22" t="s">
        <v>138</v>
      </c>
      <c r="C17" s="40" t="n">
        <v>0.45</v>
      </c>
      <c r="E17" s="7" t="s">
        <v>132</v>
      </c>
    </row>
    <row r="19" customFormat="false" ht="21.75" hidden="false" customHeight="true" outlineLevel="0" collapsed="false">
      <c r="B19" s="6" t="s">
        <v>139</v>
      </c>
      <c r="C19" s="6"/>
    </row>
    <row r="20" customFormat="false" ht="18" hidden="false" customHeight="true" outlineLevel="0" collapsed="false">
      <c r="B20" s="22" t="s">
        <v>140</v>
      </c>
      <c r="C20" s="39" t="n">
        <v>15397</v>
      </c>
      <c r="E20" s="7" t="s">
        <v>141</v>
      </c>
    </row>
    <row r="21" customFormat="false" ht="18" hidden="false" customHeight="true" outlineLevel="0" collapsed="false">
      <c r="B21" s="22" t="s">
        <v>142</v>
      </c>
      <c r="C21" s="40" t="n">
        <v>0.19</v>
      </c>
      <c r="E21" s="7" t="s">
        <v>143</v>
      </c>
    </row>
    <row r="22" customFormat="false" ht="18" hidden="false" customHeight="true" outlineLevel="0" collapsed="false">
      <c r="B22" s="22" t="s">
        <v>144</v>
      </c>
      <c r="C22" s="39" t="n">
        <v>27491</v>
      </c>
    </row>
    <row r="23" customFormat="false" ht="18" hidden="false" customHeight="true" outlineLevel="0" collapsed="false">
      <c r="B23" s="22" t="s">
        <v>131</v>
      </c>
      <c r="C23" s="40" t="n">
        <v>0.2</v>
      </c>
      <c r="E23" s="7" t="s">
        <v>143</v>
      </c>
    </row>
    <row r="24" customFormat="false" ht="18" hidden="false" customHeight="true" outlineLevel="0" collapsed="false">
      <c r="B24" s="22" t="s">
        <v>145</v>
      </c>
      <c r="C24" s="39" t="n">
        <v>43662</v>
      </c>
    </row>
    <row r="25" customFormat="false" ht="18" hidden="false" customHeight="true" outlineLevel="0" collapsed="false">
      <c r="B25" s="22" t="s">
        <v>146</v>
      </c>
      <c r="C25" s="40" t="n">
        <v>0.21</v>
      </c>
      <c r="E25" s="7" t="s">
        <v>143</v>
      </c>
    </row>
    <row r="26" customFormat="false" ht="18" hidden="false" customHeight="true" outlineLevel="0" collapsed="false">
      <c r="B26" s="22" t="s">
        <v>147</v>
      </c>
      <c r="C26" s="39" t="n">
        <v>75000</v>
      </c>
    </row>
    <row r="27" customFormat="false" ht="18" hidden="false" customHeight="true" outlineLevel="0" collapsed="false">
      <c r="B27" s="22" t="s">
        <v>135</v>
      </c>
      <c r="C27" s="40" t="n">
        <v>0.42</v>
      </c>
      <c r="E27" s="7" t="s">
        <v>143</v>
      </c>
    </row>
    <row r="28" customFormat="false" ht="18" hidden="false" customHeight="true" outlineLevel="0" collapsed="false">
      <c r="B28" s="22" t="s">
        <v>148</v>
      </c>
      <c r="C28" s="39" t="n">
        <v>125140</v>
      </c>
      <c r="E28" s="7" t="s">
        <v>149</v>
      </c>
    </row>
    <row r="29" customFormat="false" ht="18" hidden="false" customHeight="true" outlineLevel="0" collapsed="false">
      <c r="B29" s="22" t="s">
        <v>150</v>
      </c>
      <c r="C29" s="40" t="n">
        <v>0.45</v>
      </c>
      <c r="E29" s="7" t="s">
        <v>143</v>
      </c>
    </row>
    <row r="30" customFormat="false" ht="18" hidden="false" customHeight="true" outlineLevel="0" collapsed="false">
      <c r="B30" s="22" t="s">
        <v>151</v>
      </c>
      <c r="C30" s="40" t="n">
        <v>0.48</v>
      </c>
      <c r="E30" s="7" t="s">
        <v>143</v>
      </c>
    </row>
    <row r="32" customFormat="false" ht="21.75" hidden="false" customHeight="true" outlineLevel="0" collapsed="false">
      <c r="B32" s="6" t="s">
        <v>152</v>
      </c>
      <c r="C32" s="6"/>
    </row>
    <row r="33" customFormat="false" ht="18" hidden="false" customHeight="true" outlineLevel="0" collapsed="false">
      <c r="B33" s="22" t="s">
        <v>153</v>
      </c>
      <c r="C33" s="39" t="n">
        <v>12570</v>
      </c>
    </row>
    <row r="34" customFormat="false" ht="18" hidden="false" customHeight="true" outlineLevel="0" collapsed="false">
      <c r="B34" s="22" t="s">
        <v>154</v>
      </c>
      <c r="C34" s="39" t="n">
        <v>50270</v>
      </c>
      <c r="E34" s="7" t="s">
        <v>155</v>
      </c>
    </row>
    <row r="35" customFormat="false" ht="18" hidden="false" customHeight="true" outlineLevel="0" collapsed="false">
      <c r="B35" s="22" t="s">
        <v>156</v>
      </c>
      <c r="C35" s="40" t="n">
        <v>0.08</v>
      </c>
      <c r="E35" s="7" t="s">
        <v>157</v>
      </c>
    </row>
    <row r="36" customFormat="false" ht="18" hidden="false" customHeight="true" outlineLevel="0" collapsed="false">
      <c r="B36" s="22" t="s">
        <v>158</v>
      </c>
      <c r="C36" s="40" t="n">
        <v>0.02</v>
      </c>
      <c r="E36" s="7" t="s">
        <v>132</v>
      </c>
    </row>
    <row r="38" customFormat="false" ht="21.75" hidden="false" customHeight="true" outlineLevel="0" collapsed="false">
      <c r="B38" s="6" t="s">
        <v>159</v>
      </c>
      <c r="C38" s="6"/>
    </row>
    <row r="39" customFormat="false" ht="18" hidden="false" customHeight="true" outlineLevel="0" collapsed="false">
      <c r="B39" s="22" t="s">
        <v>160</v>
      </c>
      <c r="C39" s="39" t="n">
        <v>5000</v>
      </c>
      <c r="E39" s="7" t="s">
        <v>161</v>
      </c>
    </row>
    <row r="40" customFormat="false" ht="18" hidden="false" customHeight="true" outlineLevel="0" collapsed="false">
      <c r="B40" s="22" t="s">
        <v>162</v>
      </c>
      <c r="C40" s="40" t="n">
        <v>0.15</v>
      </c>
      <c r="E40" s="7" t="s">
        <v>163</v>
      </c>
    </row>
    <row r="42" customFormat="false" ht="21.75" hidden="false" customHeight="true" outlineLevel="0" collapsed="false">
      <c r="B42" s="6" t="s">
        <v>164</v>
      </c>
      <c r="C42" s="6"/>
    </row>
    <row r="43" customFormat="false" ht="18" hidden="false" customHeight="true" outlineLevel="0" collapsed="false">
      <c r="B43" s="22" t="s">
        <v>165</v>
      </c>
      <c r="C43" s="39" t="n">
        <v>12570</v>
      </c>
    </row>
    <row r="44" customFormat="false" ht="18" hidden="false" customHeight="true" outlineLevel="0" collapsed="false">
      <c r="B44" s="22" t="s">
        <v>166</v>
      </c>
      <c r="C44" s="39" t="n">
        <v>50270</v>
      </c>
    </row>
    <row r="45" customFormat="false" ht="18" hidden="false" customHeight="true" outlineLevel="0" collapsed="false">
      <c r="B45" s="22" t="s">
        <v>167</v>
      </c>
      <c r="C45" s="40" t="n">
        <v>0.06</v>
      </c>
      <c r="E45" s="7" t="s">
        <v>168</v>
      </c>
    </row>
    <row r="46" customFormat="false" ht="18" hidden="false" customHeight="true" outlineLevel="0" collapsed="false">
      <c r="B46" s="22" t="s">
        <v>169</v>
      </c>
      <c r="C46" s="40" t="n">
        <v>0.02</v>
      </c>
      <c r="E46" s="7" t="s">
        <v>132</v>
      </c>
    </row>
    <row r="47" customFormat="false" ht="18" hidden="false" customHeight="true" outlineLevel="0" collapsed="false">
      <c r="B47" s="22" t="s">
        <v>170</v>
      </c>
      <c r="C47" s="41" t="n">
        <v>3.65</v>
      </c>
      <c r="E47" s="7" t="s">
        <v>171</v>
      </c>
    </row>
    <row r="49" customFormat="false" ht="21.75" hidden="false" customHeight="true" outlineLevel="0" collapsed="false">
      <c r="B49" s="6" t="s">
        <v>172</v>
      </c>
      <c r="C49" s="6"/>
    </row>
    <row r="50" customFormat="false" ht="18" hidden="false" customHeight="true" outlineLevel="0" collapsed="false">
      <c r="B50" s="22" t="s">
        <v>173</v>
      </c>
      <c r="C50" s="39" t="n">
        <v>50000</v>
      </c>
      <c r="E50" s="7" t="s">
        <v>174</v>
      </c>
    </row>
    <row r="51" customFormat="false" ht="18" hidden="false" customHeight="true" outlineLevel="0" collapsed="false">
      <c r="B51" s="22" t="s">
        <v>175</v>
      </c>
      <c r="C51" s="40" t="n">
        <v>0.19</v>
      </c>
      <c r="E51" s="7" t="s">
        <v>132</v>
      </c>
    </row>
    <row r="52" customFormat="false" ht="18" hidden="false" customHeight="true" outlineLevel="0" collapsed="false">
      <c r="B52" s="22" t="s">
        <v>176</v>
      </c>
      <c r="C52" s="39" t="n">
        <v>250000</v>
      </c>
      <c r="E52" s="7" t="s">
        <v>177</v>
      </c>
    </row>
    <row r="53" customFormat="false" ht="18" hidden="false" customHeight="true" outlineLevel="0" collapsed="false">
      <c r="B53" s="22" t="s">
        <v>178</v>
      </c>
      <c r="C53" s="40" t="n">
        <v>0.25</v>
      </c>
      <c r="E53" s="7" t="s">
        <v>132</v>
      </c>
    </row>
    <row r="54" customFormat="false" ht="18" hidden="false" customHeight="true" outlineLevel="0" collapsed="false">
      <c r="B54" s="22" t="s">
        <v>179</v>
      </c>
      <c r="C54" s="42" t="n">
        <v>0.015</v>
      </c>
      <c r="E54" s="7" t="s">
        <v>180</v>
      </c>
    </row>
    <row r="56" customFormat="false" ht="21.75" hidden="false" customHeight="true" outlineLevel="0" collapsed="false">
      <c r="B56" s="6" t="s">
        <v>181</v>
      </c>
      <c r="C56" s="6"/>
    </row>
    <row r="57" customFormat="false" ht="18" hidden="false" customHeight="true" outlineLevel="0" collapsed="false">
      <c r="B57" s="22" t="s">
        <v>182</v>
      </c>
      <c r="C57" s="39" t="n">
        <v>500</v>
      </c>
      <c r="E57" s="7" t="s">
        <v>183</v>
      </c>
    </row>
    <row r="58" customFormat="false" ht="18" hidden="false" customHeight="true" outlineLevel="0" collapsed="false">
      <c r="B58" s="22" t="s">
        <v>184</v>
      </c>
      <c r="C58" s="43" t="n">
        <v>0.0875</v>
      </c>
      <c r="E58" s="7" t="s">
        <v>185</v>
      </c>
    </row>
    <row r="59" customFormat="false" ht="18" hidden="false" customHeight="true" outlineLevel="0" collapsed="false">
      <c r="B59" s="22" t="s">
        <v>186</v>
      </c>
      <c r="C59" s="43" t="n">
        <v>0.3375</v>
      </c>
      <c r="E59" s="7" t="s">
        <v>187</v>
      </c>
    </row>
    <row r="60" customFormat="false" ht="18" hidden="false" customHeight="true" outlineLevel="0" collapsed="false">
      <c r="B60" s="22" t="s">
        <v>188</v>
      </c>
      <c r="C60" s="43" t="n">
        <v>0.3935</v>
      </c>
      <c r="E60" s="7" t="s">
        <v>189</v>
      </c>
    </row>
    <row r="62" customFormat="false" ht="21.75" hidden="false" customHeight="true" outlineLevel="0" collapsed="false">
      <c r="B62" s="6" t="s">
        <v>190</v>
      </c>
      <c r="C62" s="6"/>
    </row>
    <row r="63" customFormat="false" ht="18" hidden="false" customHeight="true" outlineLevel="0" collapsed="false">
      <c r="B63" s="22" t="s">
        <v>191</v>
      </c>
      <c r="C63" s="39" t="n">
        <v>26900</v>
      </c>
      <c r="E63" s="7" t="s">
        <v>192</v>
      </c>
    </row>
    <row r="64" customFormat="false" ht="18" hidden="false" customHeight="true" outlineLevel="0" collapsed="false">
      <c r="B64" s="22" t="s">
        <v>193</v>
      </c>
      <c r="C64" s="39" t="n">
        <v>29385</v>
      </c>
      <c r="E64" s="7" t="s">
        <v>192</v>
      </c>
    </row>
    <row r="65" customFormat="false" ht="18" hidden="false" customHeight="true" outlineLevel="0" collapsed="false">
      <c r="B65" s="22" t="s">
        <v>194</v>
      </c>
      <c r="C65" s="39" t="n">
        <v>33795</v>
      </c>
      <c r="E65" s="7" t="s">
        <v>195</v>
      </c>
    </row>
    <row r="66" customFormat="false" ht="18" hidden="false" customHeight="true" outlineLevel="0" collapsed="false">
      <c r="B66" s="22" t="s">
        <v>196</v>
      </c>
      <c r="C66" s="39" t="n">
        <v>25000</v>
      </c>
      <c r="E66" s="7" t="s">
        <v>197</v>
      </c>
    </row>
    <row r="67" customFormat="false" ht="18" hidden="false" customHeight="true" outlineLevel="0" collapsed="false">
      <c r="B67" s="22" t="s">
        <v>198</v>
      </c>
      <c r="C67" s="39" t="n">
        <v>21000</v>
      </c>
      <c r="E67" s="7" t="s">
        <v>199</v>
      </c>
    </row>
    <row r="68" customFormat="false" ht="18" hidden="false" customHeight="true" outlineLevel="0" collapsed="false">
      <c r="B68" s="22" t="s">
        <v>200</v>
      </c>
      <c r="C68" s="40" t="n">
        <v>0.09</v>
      </c>
      <c r="E68" s="7" t="s">
        <v>201</v>
      </c>
    </row>
    <row r="69" customFormat="false" ht="18" hidden="false" customHeight="true" outlineLevel="0" collapsed="false">
      <c r="B69" s="22" t="s">
        <v>202</v>
      </c>
      <c r="C69" s="40" t="n">
        <v>0.06</v>
      </c>
      <c r="E69" s="7" t="s">
        <v>201</v>
      </c>
    </row>
  </sheetData>
  <mergeCells count="9">
    <mergeCell ref="B6:C6"/>
    <mergeCell ref="B11:C11"/>
    <mergeCell ref="B19:C19"/>
    <mergeCell ref="B32:C32"/>
    <mergeCell ref="B38:C38"/>
    <mergeCell ref="B42:C42"/>
    <mergeCell ref="B49:C49"/>
    <mergeCell ref="B56:C56"/>
    <mergeCell ref="B62:C6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4748B"/>
    <pageSetUpPr fitToPage="false"/>
  </sheetPr>
  <dimension ref="B2:B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00"/>
  </cols>
  <sheetData>
    <row r="2" customFormat="false" ht="19.5" hidden="false" customHeight="true" outlineLevel="0" collapsed="false">
      <c r="B2" s="37" t="s">
        <v>203</v>
      </c>
    </row>
    <row r="3" customFormat="false" ht="18" hidden="false" customHeight="true" outlineLevel="0" collapsed="false">
      <c r="B3" s="44"/>
    </row>
    <row r="4" customFormat="false" ht="21.75" hidden="false" customHeight="true" outlineLevel="0" collapsed="false">
      <c r="B4" s="45" t="s">
        <v>204</v>
      </c>
    </row>
    <row r="5" customFormat="false" ht="18" hidden="false" customHeight="true" outlineLevel="0" collapsed="false">
      <c r="B5" s="46" t="s">
        <v>205</v>
      </c>
    </row>
    <row r="6" customFormat="false" ht="18" hidden="false" customHeight="true" outlineLevel="0" collapsed="false">
      <c r="B6" s="46" t="s">
        <v>206</v>
      </c>
    </row>
    <row r="7" customFormat="false" ht="18" hidden="false" customHeight="true" outlineLevel="0" collapsed="false">
      <c r="B7" s="46"/>
    </row>
    <row r="8" customFormat="false" ht="21.75" hidden="false" customHeight="true" outlineLevel="0" collapsed="false">
      <c r="B8" s="45" t="s">
        <v>207</v>
      </c>
    </row>
    <row r="9" customFormat="false" ht="18" hidden="false" customHeight="true" outlineLevel="0" collapsed="false">
      <c r="B9" s="46" t="s">
        <v>208</v>
      </c>
    </row>
    <row r="10" customFormat="false" ht="18" hidden="false" customHeight="true" outlineLevel="0" collapsed="false">
      <c r="B10" s="46" t="s">
        <v>209</v>
      </c>
    </row>
    <row r="11" customFormat="false" ht="18" hidden="false" customHeight="true" outlineLevel="0" collapsed="false">
      <c r="B11" s="46"/>
    </row>
    <row r="12" customFormat="false" ht="21.75" hidden="false" customHeight="true" outlineLevel="0" collapsed="false">
      <c r="B12" s="45" t="s">
        <v>210</v>
      </c>
    </row>
    <row r="13" customFormat="false" ht="18" hidden="false" customHeight="true" outlineLevel="0" collapsed="false">
      <c r="B13" s="46" t="s">
        <v>211</v>
      </c>
    </row>
    <row r="14" customFormat="false" ht="18" hidden="false" customHeight="true" outlineLevel="0" collapsed="false">
      <c r="B14" s="46" t="s">
        <v>212</v>
      </c>
    </row>
    <row r="15" customFormat="false" ht="18" hidden="false" customHeight="true" outlineLevel="0" collapsed="false">
      <c r="B15" s="46" t="s">
        <v>213</v>
      </c>
    </row>
    <row r="16" customFormat="false" ht="18" hidden="false" customHeight="true" outlineLevel="0" collapsed="false">
      <c r="B16" s="46" t="s">
        <v>214</v>
      </c>
    </row>
    <row r="17" customFormat="false" ht="18" hidden="false" customHeight="true" outlineLevel="0" collapsed="false">
      <c r="B17" s="46"/>
    </row>
    <row r="18" customFormat="false" ht="21.75" hidden="false" customHeight="true" outlineLevel="0" collapsed="false">
      <c r="B18" s="45" t="s">
        <v>215</v>
      </c>
    </row>
    <row r="19" customFormat="false" ht="18" hidden="false" customHeight="true" outlineLevel="0" collapsed="false">
      <c r="B19" s="46" t="s">
        <v>216</v>
      </c>
    </row>
    <row r="20" customFormat="false" ht="18" hidden="false" customHeight="true" outlineLevel="0" collapsed="false">
      <c r="B20" s="46" t="s">
        <v>217</v>
      </c>
    </row>
    <row r="21" customFormat="false" ht="18" hidden="false" customHeight="true" outlineLevel="0" collapsed="false">
      <c r="B21" s="46" t="s">
        <v>218</v>
      </c>
    </row>
    <row r="22" customFormat="false" ht="18" hidden="false" customHeight="true" outlineLevel="0" collapsed="false">
      <c r="B22" s="46" t="s">
        <v>219</v>
      </c>
    </row>
    <row r="23" customFormat="false" ht="18" hidden="false" customHeight="true" outlineLevel="0" collapsed="false">
      <c r="B23" s="46" t="s">
        <v>220</v>
      </c>
    </row>
    <row r="24" customFormat="false" ht="18" hidden="false" customHeight="true" outlineLevel="0" collapsed="false">
      <c r="B24" s="46"/>
    </row>
    <row r="25" customFormat="false" ht="21.75" hidden="false" customHeight="true" outlineLevel="0" collapsed="false">
      <c r="B25" s="45" t="s">
        <v>221</v>
      </c>
    </row>
    <row r="26" customFormat="false" ht="18" hidden="false" customHeight="true" outlineLevel="0" collapsed="false">
      <c r="B26" s="46" t="s">
        <v>222</v>
      </c>
    </row>
    <row r="27" customFormat="false" ht="18" hidden="false" customHeight="true" outlineLevel="0" collapsed="false">
      <c r="B27" s="46" t="s">
        <v>223</v>
      </c>
    </row>
    <row r="28" customFormat="false" ht="18" hidden="false" customHeight="true" outlineLevel="0" collapsed="false">
      <c r="B28" s="46" t="s">
        <v>224</v>
      </c>
    </row>
    <row r="29" customFormat="false" ht="18" hidden="false" customHeight="true" outlineLevel="0" collapsed="false">
      <c r="B29" s="46" t="s">
        <v>225</v>
      </c>
    </row>
    <row r="30" customFormat="false" ht="18" hidden="false" customHeight="true" outlineLevel="0" collapsed="false">
      <c r="B30" s="46" t="s">
        <v>226</v>
      </c>
    </row>
    <row r="31" customFormat="false" ht="18" hidden="false" customHeight="true" outlineLevel="0" collapsed="false">
      <c r="B31" s="46" t="s">
        <v>227</v>
      </c>
    </row>
    <row r="32" customFormat="false" ht="18" hidden="false" customHeight="true" outlineLevel="0" collapsed="false">
      <c r="B32" s="46" t="s">
        <v>228</v>
      </c>
    </row>
    <row r="33" customFormat="false" ht="18" hidden="false" customHeight="true" outlineLevel="0" collapsed="false">
      <c r="B33" s="46" t="s">
        <v>229</v>
      </c>
    </row>
    <row r="34" customFormat="false" ht="18" hidden="false" customHeight="true" outlineLevel="0" collapsed="false">
      <c r="B34" s="46"/>
    </row>
    <row r="35" customFormat="false" ht="21.75" hidden="false" customHeight="true" outlineLevel="0" collapsed="false">
      <c r="B35" s="45" t="s">
        <v>230</v>
      </c>
    </row>
    <row r="36" customFormat="false" ht="18" hidden="false" customHeight="true" outlineLevel="0" collapsed="false">
      <c r="B36" s="46" t="s">
        <v>231</v>
      </c>
    </row>
    <row r="37" customFormat="false" ht="18" hidden="false" customHeight="true" outlineLevel="0" collapsed="false">
      <c r="B37" s="46" t="s">
        <v>232</v>
      </c>
    </row>
    <row r="38" customFormat="false" ht="18" hidden="false" customHeight="true" outlineLevel="0" collapsed="false">
      <c r="B38" s="46"/>
    </row>
    <row r="39" customFormat="false" ht="18" hidden="false" customHeight="true" outlineLevel="0" collapsed="false">
      <c r="B39" s="47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2026-05-28T14:22:03Z</dcterms:created>
  <dc:creator>openpyxl</dc:creator>
  <dc:description/>
  <dc:language>en-US</dc:language>
  <cp:lastModifiedBy/>
  <dcterms:modified xsi:type="dcterms:W3CDTF">2026-05-28T14:29:06Z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